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drawings/drawing2.xml" ContentType="application/vnd.openxmlformats-officedocument.drawing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drawings/drawing4.xml" ContentType="application/vnd.openxmlformats-officedocument.drawing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5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drawings/drawing6.xml" ContentType="application/vnd.openxmlformats-officedocument.drawing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7.xml" ContentType="application/vnd.openxmlformats-officedocument.drawing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gm12\Dropbox\REFdata\20180215 Files added by Mustafa\Commodity Tables\Updated\"/>
    </mc:Choice>
  </mc:AlternateContent>
  <bookViews>
    <workbookView xWindow="600" yWindow="456" windowWidth="19680" windowHeight="8088" tabRatio="733"/>
  </bookViews>
  <sheets>
    <sheet name="Intro" sheetId="13" r:id="rId1"/>
    <sheet name="Rice (All)" sheetId="1" r:id="rId2"/>
    <sheet name="Graphs (All)" sheetId="2" r:id="rId3"/>
    <sheet name="Collective Graph (All)" sheetId="3" r:id="rId4"/>
    <sheet name="Rice (Adjusted)" sheetId="27" r:id="rId5"/>
    <sheet name="Graph - 1" sheetId="17" r:id="rId6"/>
    <sheet name="Graph - 2" sheetId="18" r:id="rId7"/>
    <sheet name="Graph - 3" sheetId="19" r:id="rId8"/>
    <sheet name="Graph - 4" sheetId="21" r:id="rId9"/>
    <sheet name="Graph - 5" sheetId="22" r:id="rId10"/>
  </sheets>
  <calcPr calcId="152511"/>
</workbook>
</file>

<file path=xl/calcChain.xml><?xml version="1.0" encoding="utf-8"?>
<calcChain xmlns="http://schemas.openxmlformats.org/spreadsheetml/2006/main">
  <c r="AT6" i="27" l="1"/>
  <c r="AS6" i="27"/>
  <c r="N80" i="27" l="1"/>
  <c r="I80" i="27"/>
  <c r="H80" i="27"/>
  <c r="AR79" i="27"/>
  <c r="AQ79" i="27"/>
  <c r="AO79" i="27"/>
  <c r="AC79" i="27"/>
  <c r="N79" i="27"/>
  <c r="I79" i="27"/>
  <c r="H79" i="27"/>
  <c r="E79" i="27"/>
  <c r="AR78" i="27"/>
  <c r="AQ78" i="27"/>
  <c r="AO78" i="27"/>
  <c r="AM78" i="27"/>
  <c r="AC78" i="27"/>
  <c r="N78" i="27"/>
  <c r="I78" i="27"/>
  <c r="H78" i="27"/>
  <c r="E78" i="27"/>
  <c r="AR77" i="27"/>
  <c r="AQ77" i="27"/>
  <c r="AO77" i="27"/>
  <c r="AN77" i="27"/>
  <c r="AM77" i="27"/>
  <c r="AK77" i="27"/>
  <c r="AJ77" i="27"/>
  <c r="AI77" i="27"/>
  <c r="AG77" i="27"/>
  <c r="AC77" i="27"/>
  <c r="N77" i="27"/>
  <c r="I77" i="27"/>
  <c r="H77" i="27"/>
  <c r="E77" i="27"/>
  <c r="AR76" i="27"/>
  <c r="AQ76" i="27"/>
  <c r="AO76" i="27"/>
  <c r="AM76" i="27"/>
  <c r="AK76" i="27"/>
  <c r="AJ76" i="27"/>
  <c r="AI76" i="27"/>
  <c r="AG76" i="27"/>
  <c r="AC76" i="27"/>
  <c r="N76" i="27"/>
  <c r="I76" i="27"/>
  <c r="H76" i="27"/>
  <c r="E76" i="27"/>
  <c r="AQ75" i="27"/>
  <c r="AO75" i="27"/>
  <c r="AM75" i="27"/>
  <c r="AK75" i="27"/>
  <c r="AJ75" i="27"/>
  <c r="AI75" i="27"/>
  <c r="AG75" i="27"/>
  <c r="AD75" i="27"/>
  <c r="AC75" i="27"/>
  <c r="J75" i="27"/>
  <c r="I75" i="27"/>
  <c r="H75" i="27"/>
  <c r="F75" i="27"/>
  <c r="E75" i="27"/>
  <c r="AQ74" i="27"/>
  <c r="AO74" i="27"/>
  <c r="AM74" i="27"/>
  <c r="AJ74" i="27"/>
  <c r="AI74" i="27"/>
  <c r="AG74" i="27"/>
  <c r="AC74" i="27"/>
  <c r="N74" i="27"/>
  <c r="J74" i="27"/>
  <c r="I74" i="27"/>
  <c r="H74" i="27"/>
  <c r="E74" i="27"/>
  <c r="AQ73" i="27"/>
  <c r="AO73" i="27"/>
  <c r="AM73" i="27"/>
  <c r="AJ73" i="27"/>
  <c r="AI73" i="27"/>
  <c r="AG73" i="27"/>
  <c r="AC73" i="27"/>
  <c r="N73" i="27"/>
  <c r="J73" i="27"/>
  <c r="I73" i="27"/>
  <c r="H73" i="27"/>
  <c r="AM72" i="27"/>
  <c r="AE72" i="27"/>
  <c r="AC72" i="27"/>
  <c r="N72" i="27"/>
  <c r="J72" i="27"/>
  <c r="I72" i="27"/>
  <c r="H72" i="27"/>
  <c r="AM71" i="27"/>
  <c r="AF71" i="27"/>
  <c r="AE71" i="27"/>
  <c r="AD71" i="27"/>
  <c r="AC71" i="27"/>
  <c r="N71" i="27"/>
  <c r="I71" i="27"/>
  <c r="H71" i="27"/>
  <c r="AM70" i="27"/>
  <c r="AE70" i="27"/>
  <c r="AD70" i="27"/>
  <c r="AC70" i="27"/>
  <c r="N70" i="27"/>
  <c r="I70" i="27"/>
  <c r="H70" i="27"/>
  <c r="AO69" i="27"/>
  <c r="AM69" i="27"/>
  <c r="AG69" i="27"/>
  <c r="AF69" i="27"/>
  <c r="AC69" i="27"/>
  <c r="N69" i="27"/>
  <c r="I69" i="27"/>
  <c r="H69" i="27"/>
  <c r="E69" i="27"/>
  <c r="AO68" i="27"/>
  <c r="AM68" i="27"/>
  <c r="N68" i="27"/>
  <c r="I68" i="27"/>
  <c r="H68" i="27"/>
  <c r="F68" i="27"/>
  <c r="AO67" i="27"/>
  <c r="AM67" i="27"/>
  <c r="N67" i="27"/>
  <c r="I67" i="27"/>
  <c r="H67" i="27"/>
  <c r="AR66" i="27"/>
  <c r="AQ66" i="27"/>
  <c r="AO66" i="27"/>
  <c r="AM66" i="27"/>
  <c r="N66" i="27"/>
  <c r="I66" i="27"/>
  <c r="H66" i="27"/>
  <c r="AR65" i="27"/>
  <c r="AQ65" i="27"/>
  <c r="AO65" i="27"/>
  <c r="AM65" i="27"/>
  <c r="AB65" i="27"/>
  <c r="N65" i="27"/>
  <c r="I65" i="27"/>
  <c r="H65" i="27"/>
  <c r="AR64" i="27"/>
  <c r="AQ64" i="27"/>
  <c r="AO64" i="27"/>
  <c r="AM64" i="27"/>
  <c r="AH64" i="27"/>
  <c r="N64" i="27"/>
  <c r="H64" i="27"/>
  <c r="E64" i="27"/>
  <c r="AR63" i="27"/>
  <c r="AQ63" i="27"/>
  <c r="AO63" i="27"/>
  <c r="AM63" i="27"/>
  <c r="AB63" i="27"/>
  <c r="N63" i="27"/>
  <c r="H63" i="27"/>
  <c r="AO62" i="27"/>
  <c r="AM62" i="27"/>
  <c r="AG62" i="27"/>
  <c r="AB62" i="27"/>
  <c r="N62" i="27"/>
  <c r="H62" i="27"/>
  <c r="AO61" i="27"/>
  <c r="AN61" i="27"/>
  <c r="AM61" i="27"/>
  <c r="AG61" i="27"/>
  <c r="N61" i="27"/>
  <c r="H61" i="27"/>
  <c r="AO60" i="27"/>
  <c r="AN60" i="27"/>
  <c r="AM60" i="27"/>
  <c r="AH60" i="27"/>
  <c r="AG60" i="27"/>
  <c r="AB60" i="27"/>
  <c r="N60" i="27"/>
  <c r="H60" i="27"/>
  <c r="AP59" i="27"/>
  <c r="AO59" i="27"/>
  <c r="AN59" i="27"/>
  <c r="AM59" i="27"/>
  <c r="AH59" i="27"/>
  <c r="AB59" i="27"/>
  <c r="N59" i="27"/>
  <c r="H59" i="27"/>
  <c r="AP58" i="27"/>
  <c r="AO58" i="27"/>
  <c r="AN58" i="27"/>
  <c r="AM58" i="27"/>
  <c r="AH58" i="27"/>
  <c r="H58" i="27"/>
  <c r="AO57" i="27"/>
  <c r="AN57" i="27"/>
  <c r="AM57" i="27"/>
  <c r="AH57" i="27"/>
  <c r="AG57" i="27"/>
  <c r="N57" i="27"/>
  <c r="I57" i="27"/>
  <c r="H57" i="27"/>
  <c r="AN56" i="27"/>
  <c r="AM56" i="27"/>
  <c r="N56" i="27"/>
  <c r="I56" i="27"/>
  <c r="H56" i="27"/>
  <c r="AN55" i="27"/>
  <c r="AM55" i="27"/>
  <c r="N55" i="27"/>
  <c r="H55" i="27"/>
  <c r="AN54" i="27"/>
  <c r="AM54" i="27"/>
  <c r="N54" i="27"/>
  <c r="H54" i="27"/>
  <c r="AN53" i="27"/>
  <c r="AM53" i="27"/>
  <c r="V53" i="27"/>
  <c r="N53" i="27"/>
  <c r="AN52" i="27"/>
  <c r="AM52" i="27"/>
  <c r="V52" i="27"/>
  <c r="N52" i="27"/>
  <c r="AN51" i="27"/>
  <c r="AM51" i="27"/>
  <c r="X51" i="27"/>
  <c r="N51" i="27"/>
  <c r="K51" i="27"/>
  <c r="AN50" i="27"/>
  <c r="AM50" i="27"/>
  <c r="X50" i="27"/>
  <c r="N50" i="27"/>
  <c r="AN49" i="27"/>
  <c r="AM49" i="27"/>
  <c r="AJ49" i="27"/>
  <c r="N49" i="27"/>
  <c r="AN48" i="27"/>
  <c r="AM48" i="27"/>
  <c r="AJ48" i="27"/>
  <c r="N48" i="27"/>
  <c r="AN47" i="27"/>
  <c r="AM47" i="27"/>
  <c r="O47" i="27"/>
  <c r="N47" i="27"/>
  <c r="AN46" i="27"/>
  <c r="AM46" i="27"/>
  <c r="N46" i="27"/>
  <c r="AM45" i="27"/>
  <c r="F45" i="27"/>
  <c r="AM44" i="27"/>
  <c r="N44" i="27"/>
  <c r="G44" i="27"/>
  <c r="F44" i="27"/>
  <c r="E44" i="27"/>
  <c r="AM43" i="27"/>
  <c r="AI43" i="27"/>
  <c r="N43" i="27"/>
  <c r="G43" i="27"/>
  <c r="AM42" i="27"/>
  <c r="AI42" i="27"/>
  <c r="AG42" i="27"/>
  <c r="N42" i="27"/>
  <c r="G42" i="27"/>
  <c r="AM41" i="27"/>
  <c r="AH41" i="27"/>
  <c r="AG41" i="27"/>
  <c r="N41" i="27"/>
  <c r="G41" i="27"/>
  <c r="AG40" i="27"/>
  <c r="N40" i="27"/>
  <c r="H40" i="27"/>
  <c r="G40" i="27"/>
  <c r="G39" i="27"/>
  <c r="AI38" i="27"/>
  <c r="G38" i="27"/>
  <c r="AI37" i="27"/>
  <c r="G37" i="27"/>
  <c r="E37" i="27"/>
  <c r="G36" i="27"/>
  <c r="F36" i="27"/>
  <c r="E36" i="27"/>
  <c r="J35" i="27"/>
  <c r="G35" i="27"/>
  <c r="E35" i="27"/>
  <c r="J34" i="27"/>
  <c r="G34" i="27"/>
  <c r="F34" i="27"/>
  <c r="E34" i="27"/>
  <c r="J33" i="27"/>
  <c r="G33" i="27"/>
  <c r="E33" i="27"/>
  <c r="J32" i="27"/>
  <c r="AI31" i="27"/>
  <c r="J31" i="27"/>
  <c r="O25" i="27"/>
  <c r="A8" i="27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R6" i="27"/>
  <c r="AQ6" i="27"/>
  <c r="AP6" i="27"/>
  <c r="AO6" i="27"/>
  <c r="AN6" i="27"/>
  <c r="AM6" i="27"/>
  <c r="AL6" i="27"/>
  <c r="AK6" i="27"/>
  <c r="AJ6" i="27"/>
  <c r="AI6" i="27"/>
  <c r="AH6" i="27"/>
  <c r="AG6" i="27"/>
  <c r="AF6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D6" i="27"/>
  <c r="C6" i="27"/>
  <c r="K32" i="1"/>
  <c r="K31" i="1"/>
  <c r="K33" i="1"/>
  <c r="AP53" i="1" l="1"/>
  <c r="AP52" i="1"/>
  <c r="L51" i="1" l="1"/>
  <c r="K75" i="1" l="1"/>
  <c r="K74" i="1"/>
  <c r="K35" i="1" l="1"/>
  <c r="K34" i="1"/>
  <c r="K73" i="1"/>
  <c r="K72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57" i="1"/>
  <c r="J56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40" i="1"/>
  <c r="H44" i="1"/>
  <c r="H43" i="1"/>
  <c r="H42" i="1"/>
  <c r="H41" i="1"/>
  <c r="H40" i="1"/>
  <c r="H39" i="1"/>
  <c r="H38" i="1"/>
  <c r="H37" i="1"/>
  <c r="H36" i="1"/>
  <c r="H35" i="1"/>
  <c r="H34" i="1"/>
  <c r="H33" i="1"/>
  <c r="G36" i="1"/>
  <c r="G34" i="1"/>
  <c r="G45" i="1"/>
  <c r="G44" i="1"/>
  <c r="G75" i="1"/>
  <c r="G68" i="1"/>
  <c r="F79" i="1"/>
  <c r="F78" i="1"/>
  <c r="F77" i="1"/>
  <c r="F76" i="1"/>
  <c r="F75" i="1"/>
  <c r="F74" i="1"/>
  <c r="F69" i="1"/>
  <c r="F64" i="1"/>
  <c r="F44" i="1"/>
  <c r="F37" i="1"/>
  <c r="F36" i="1"/>
  <c r="F35" i="1"/>
  <c r="F34" i="1"/>
  <c r="F33" i="1"/>
  <c r="AV51" i="1" l="1"/>
  <c r="AV50" i="1"/>
  <c r="S80" i="1"/>
  <c r="S79" i="1"/>
  <c r="S78" i="1"/>
  <c r="S77" i="1"/>
  <c r="S76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7" i="1"/>
  <c r="S56" i="1"/>
  <c r="S55" i="1"/>
  <c r="S54" i="1"/>
  <c r="S53" i="1"/>
  <c r="S52" i="1"/>
  <c r="S51" i="1"/>
  <c r="S50" i="1"/>
  <c r="S49" i="1"/>
  <c r="S48" i="1"/>
  <c r="S47" i="1"/>
  <c r="S46" i="1"/>
  <c r="S44" i="1"/>
  <c r="S43" i="1"/>
  <c r="S42" i="1"/>
  <c r="S41" i="1"/>
  <c r="S40" i="1"/>
  <c r="T47" i="1"/>
  <c r="T25" i="1"/>
  <c r="CU58" i="1" l="1"/>
  <c r="CU59" i="1"/>
  <c r="CT59" i="1"/>
  <c r="CT78" i="1"/>
  <c r="CT76" i="1"/>
  <c r="CT79" i="1" l="1"/>
  <c r="CT77" i="1"/>
  <c r="CT75" i="1"/>
  <c r="CT74" i="1"/>
  <c r="CT73" i="1"/>
  <c r="CT69" i="1"/>
  <c r="CT68" i="1"/>
  <c r="CT67" i="1"/>
  <c r="CT66" i="1"/>
  <c r="CT65" i="1"/>
  <c r="CT64" i="1"/>
  <c r="CT63" i="1"/>
  <c r="CT62" i="1"/>
  <c r="CT61" i="1"/>
  <c r="CT60" i="1"/>
  <c r="CT58" i="1"/>
  <c r="CT57" i="1"/>
  <c r="CW63" i="1"/>
  <c r="CX79" i="1" l="1"/>
  <c r="CX78" i="1"/>
  <c r="CX77" i="1"/>
  <c r="CX76" i="1"/>
  <c r="CX66" i="1"/>
  <c r="CX65" i="1"/>
  <c r="CX64" i="1"/>
  <c r="CX63" i="1"/>
  <c r="CW79" i="1"/>
  <c r="CW78" i="1"/>
  <c r="CW77" i="1"/>
  <c r="CW76" i="1"/>
  <c r="CW75" i="1"/>
  <c r="CW74" i="1"/>
  <c r="CW73" i="1"/>
  <c r="CW66" i="1"/>
  <c r="CW65" i="1"/>
  <c r="CW64" i="1"/>
  <c r="BJ79" i="1" l="1"/>
  <c r="BJ78" i="1"/>
  <c r="BJ77" i="1"/>
  <c r="BJ76" i="1"/>
  <c r="BJ75" i="1"/>
  <c r="BJ74" i="1"/>
  <c r="BJ73" i="1"/>
  <c r="BJ72" i="1"/>
  <c r="BJ71" i="1"/>
  <c r="BJ70" i="1"/>
  <c r="BJ69" i="1"/>
  <c r="BO71" i="1" l="1"/>
  <c r="BO69" i="1"/>
  <c r="BN70" i="1"/>
  <c r="BN72" i="1"/>
  <c r="BN71" i="1"/>
  <c r="BP75" i="1"/>
  <c r="BM71" i="1"/>
  <c r="BM70" i="1"/>
  <c r="BX57" i="1" l="1"/>
  <c r="BX64" i="1"/>
  <c r="BX60" i="1"/>
  <c r="BX59" i="1"/>
  <c r="BX58" i="1"/>
  <c r="BX41" i="1"/>
  <c r="BW69" i="1"/>
  <c r="BW62" i="1"/>
  <c r="BW61" i="1"/>
  <c r="BW60" i="1"/>
  <c r="BW57" i="1"/>
  <c r="BW42" i="1"/>
  <c r="BW41" i="1"/>
  <c r="BW40" i="1"/>
  <c r="BZ77" i="1" l="1"/>
  <c r="BZ76" i="1"/>
  <c r="BZ75" i="1"/>
  <c r="BZ74" i="1"/>
  <c r="BZ73" i="1"/>
  <c r="BF65" i="1" l="1"/>
  <c r="BF63" i="1"/>
  <c r="BF62" i="1"/>
  <c r="BF60" i="1"/>
  <c r="BF59" i="1"/>
  <c r="CC43" i="1" l="1"/>
  <c r="CC42" i="1"/>
  <c r="CC38" i="1"/>
  <c r="CC37" i="1"/>
  <c r="CC31" i="1"/>
  <c r="CC77" i="1"/>
  <c r="CC76" i="1"/>
  <c r="CC75" i="1"/>
  <c r="CC74" i="1"/>
  <c r="CC73" i="1"/>
  <c r="CF73" i="1"/>
  <c r="CF77" i="1" l="1"/>
  <c r="CF76" i="1"/>
  <c r="CF75" i="1"/>
  <c r="CF74" i="1"/>
  <c r="CF49" i="1"/>
  <c r="CF48" i="1"/>
  <c r="CI77" i="1" l="1"/>
  <c r="CI76" i="1"/>
  <c r="CI75" i="1"/>
  <c r="CR61" i="1" l="1"/>
  <c r="CR60" i="1"/>
  <c r="CR59" i="1"/>
  <c r="CR58" i="1"/>
  <c r="CR57" i="1"/>
  <c r="CR56" i="1"/>
  <c r="CR55" i="1"/>
  <c r="CR54" i="1"/>
  <c r="CR53" i="1"/>
  <c r="CR52" i="1"/>
  <c r="CR51" i="1"/>
  <c r="CR50" i="1"/>
  <c r="CR49" i="1"/>
  <c r="CR48" i="1"/>
  <c r="CR47" i="1"/>
  <c r="CR46" i="1"/>
  <c r="CR77" i="1"/>
  <c r="CQ78" i="1"/>
  <c r="CQ77" i="1"/>
  <c r="CQ76" i="1"/>
  <c r="CQ75" i="1"/>
  <c r="CQ74" i="1"/>
  <c r="CQ73" i="1"/>
  <c r="CQ72" i="1"/>
  <c r="CQ71" i="1"/>
  <c r="CQ70" i="1"/>
  <c r="CQ69" i="1"/>
  <c r="CQ68" i="1"/>
  <c r="CQ67" i="1"/>
  <c r="CQ66" i="1"/>
  <c r="CQ65" i="1"/>
  <c r="CQ64" i="1"/>
  <c r="CQ63" i="1"/>
  <c r="CQ62" i="1"/>
  <c r="CQ61" i="1"/>
  <c r="CQ60" i="1"/>
  <c r="CQ59" i="1"/>
  <c r="CQ58" i="1"/>
  <c r="CQ57" i="1"/>
  <c r="CQ56" i="1"/>
  <c r="CQ55" i="1"/>
  <c r="CQ54" i="1"/>
  <c r="CQ53" i="1"/>
  <c r="CQ52" i="1"/>
  <c r="CQ51" i="1"/>
  <c r="CQ50" i="1"/>
  <c r="CQ49" i="1"/>
  <c r="CQ48" i="1"/>
  <c r="CQ47" i="1"/>
  <c r="CQ46" i="1"/>
  <c r="CQ45" i="1"/>
  <c r="CQ44" i="1"/>
  <c r="CQ43" i="1"/>
  <c r="CQ42" i="1"/>
  <c r="CQ41" i="1"/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C6" i="1"/>
  <c r="D6" i="1" l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</calcChain>
</file>

<file path=xl/comments1.xml><?xml version="1.0" encoding="utf-8"?>
<comments xmlns="http://schemas.openxmlformats.org/spreadsheetml/2006/main">
  <authors>
    <author>Author</author>
    <author>Rai Ghulam Mustafa</author>
  </authors>
  <commentList>
    <comment ref="CC3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Reduced considerably due to abundant rice crop.
Also, unsure if this is export price, might be because it is mentioned in the context of price fetched for exports to Russia.</t>
        </r>
      </text>
    </comment>
    <comment ref="BO69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first and second qualities.</t>
        </r>
      </text>
    </comment>
    <comment ref="BW69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all ports combined.</t>
        </r>
      </text>
    </comment>
    <comment ref="BO71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first and second qualities.</t>
        </r>
      </text>
    </comment>
    <comment ref="BZ73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CC73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BZ74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CC74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S75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Suspectedly high price of 73.7869, omitted due to possibility of an error.</t>
        </r>
      </text>
    </comment>
    <comment ref="BZ75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CC75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CI75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BZ76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CC76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CI76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BZ77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CC77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CI77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</commentList>
</comments>
</file>

<file path=xl/comments2.xml><?xml version="1.0" encoding="utf-8"?>
<comments xmlns="http://schemas.openxmlformats.org/spreadsheetml/2006/main">
  <authors>
    <author>Author</author>
    <author>Rai Ghulam Mustafa</author>
  </authors>
  <commentList>
    <comment ref="AI3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Reduced considerably due to abundant rice crop.
Also, unsure if this is export price, might be because it is mentioned in the context of price fetched for exports to Russia.</t>
        </r>
      </text>
    </comment>
    <comment ref="AF69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first and second qualities.</t>
        </r>
      </text>
    </comment>
    <comment ref="AG69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price of all ports combined.</t>
        </r>
      </text>
    </comment>
    <comment ref="AF71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first and second qualities.</t>
        </r>
      </text>
    </comment>
    <comment ref="AG73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AI73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AG74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AI74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N75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Suspectedly high price of 73.7869, omitted due to possibility of an error.</t>
        </r>
      </text>
    </comment>
    <comment ref="AD75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is the only price for Kerman.
</t>
        </r>
      </text>
    </comment>
    <comment ref="AG75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AI75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AK75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AG76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AI76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AK76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AG77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AI77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  <comment ref="AK77" authorId="1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Average of husked and unhusked.</t>
        </r>
      </text>
    </comment>
  </commentList>
</comments>
</file>

<file path=xl/sharedStrings.xml><?xml version="1.0" encoding="utf-8"?>
<sst xmlns="http://schemas.openxmlformats.org/spreadsheetml/2006/main" count="621" uniqueCount="59">
  <si>
    <t>Baghdad</t>
  </si>
  <si>
    <t>UK</t>
  </si>
  <si>
    <t>Damascus</t>
  </si>
  <si>
    <t>Izmir</t>
  </si>
  <si>
    <t>Beirut</t>
  </si>
  <si>
    <t>Bahrain</t>
  </si>
  <si>
    <t>Bam</t>
  </si>
  <si>
    <t>Exports</t>
  </si>
  <si>
    <t>Imports</t>
  </si>
  <si>
    <t>Alexandretta</t>
  </si>
  <si>
    <t>Bazaar (Local)</t>
  </si>
  <si>
    <t>Turkey</t>
  </si>
  <si>
    <t>Constantinople</t>
  </si>
  <si>
    <t>Mohammerah</t>
  </si>
  <si>
    <t>Lingah</t>
  </si>
  <si>
    <t>Khorasan</t>
  </si>
  <si>
    <t>Kermanshah</t>
  </si>
  <si>
    <t>Kerman</t>
  </si>
  <si>
    <t>Sultanabad</t>
  </si>
  <si>
    <t>Resht</t>
  </si>
  <si>
    <t>Ispahan</t>
  </si>
  <si>
    <t>Ghilan &amp; Tunekabun</t>
  </si>
  <si>
    <t>Bender Gez &amp; Astarabad</t>
  </si>
  <si>
    <t>Astara</t>
  </si>
  <si>
    <t>Basrah</t>
  </si>
  <si>
    <t>Mosul</t>
  </si>
  <si>
    <t>Palestine</t>
  </si>
  <si>
    <t>Muscat</t>
  </si>
  <si>
    <t>Trebizond (Anatolia)</t>
  </si>
  <si>
    <t>City/Region</t>
  </si>
  <si>
    <t>Category</t>
  </si>
  <si>
    <t>Product</t>
  </si>
  <si>
    <t>Unit (Price)</t>
  </si>
  <si>
    <t>Year</t>
  </si>
  <si>
    <t>Yezd</t>
  </si>
  <si>
    <t>Mazandaran</t>
  </si>
  <si>
    <t>Shiraz</t>
  </si>
  <si>
    <t>Trebizond (Persia)</t>
  </si>
  <si>
    <t>Middle East imports and exports, 1824-1913</t>
  </si>
  <si>
    <t>Values are in pounds sterling.</t>
  </si>
  <si>
    <t>This spreadsheet was put together by Robert Allen in October 2018.</t>
  </si>
  <si>
    <t>Egypt</t>
  </si>
  <si>
    <t>Istanbul (Nallrihan)</t>
  </si>
  <si>
    <t>trade and were published in the British House of Commons papers in the diplomatic &amp; consular reports on trade and finance as well as in the administration reports on the Persian Gulf Political Residency.</t>
  </si>
  <si>
    <t>Aleppo</t>
  </si>
  <si>
    <t>Odessa</t>
  </si>
  <si>
    <t>Alexandria</t>
  </si>
  <si>
    <t>Istanbul (Rumeli)</t>
  </si>
  <si>
    <t>Istanbul (Anatolia)</t>
  </si>
  <si>
    <t>Kerman &amp; Kermanshah</t>
  </si>
  <si>
    <t>pound/ton</t>
  </si>
  <si>
    <t>i</t>
  </si>
  <si>
    <t>Rice</t>
  </si>
  <si>
    <t>Foreign and Colonial Exports</t>
  </si>
  <si>
    <t>Resht &amp; Mazandaran</t>
  </si>
  <si>
    <t>There are important issues regarding the accuracy of the returns in view of their provenance and the incentives to underreport values and evade taxation.</t>
  </si>
  <si>
    <r>
      <t xml:space="preserve">The spreadsheet shows the </t>
    </r>
    <r>
      <rPr>
        <b/>
        <i/>
        <sz val="10"/>
        <rFont val="Arial"/>
        <family val="2"/>
      </rPr>
      <t>Prices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>Imports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Exports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 xml:space="preserve">Rice </t>
    </r>
    <r>
      <rPr>
        <sz val="10"/>
        <rFont val="Arial"/>
        <family val="2"/>
      </rPr>
      <t xml:space="preserve">in leading </t>
    </r>
    <r>
      <rPr>
        <b/>
        <sz val="10"/>
        <rFont val="Arial"/>
        <family val="2"/>
      </rPr>
      <t>cities</t>
    </r>
    <r>
      <rPr>
        <sz val="10"/>
        <rFont val="Arial"/>
        <family val="2"/>
      </rPr>
      <t xml:space="preserve"> in the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Middle East, United Kingdom </t>
    </r>
    <r>
      <rPr>
        <sz val="10"/>
        <rFont val="Arial"/>
        <family val="2"/>
      </rPr>
      <t>&amp;</t>
    </r>
    <r>
      <rPr>
        <b/>
        <i/>
        <sz val="10"/>
        <rFont val="Arial"/>
        <family val="2"/>
      </rPr>
      <t xml:space="preserve"> India</t>
    </r>
    <r>
      <rPr>
        <sz val="10"/>
        <rFont val="Arial"/>
        <family val="2"/>
      </rPr>
      <t xml:space="preserve">. The data were compiled by British consuls usually from figures collected by Ottoman customs houses that taxed </t>
    </r>
  </si>
  <si>
    <t>India</t>
  </si>
  <si>
    <t>Wholesale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</si>
</sst>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&quot;?&quot;;\-#,##0&quot;?&quot;"/>
    <numFmt numFmtId="165" formatCode="0.0000"/>
    <numFmt numFmtId="166" formatCode="_(* #,##0.0000_);_(* \(#,##0.0000\);_(* &quot;-&quot;??_);_(@_)"/>
    <numFmt numFmtId="167" formatCode="0.000000000"/>
  </numFmts>
  <fonts count="36" x14ac:knownFonts="1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urier"/>
    </font>
    <font>
      <i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2"/>
      <color rgb="FF222222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34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32"/>
      <name val="Calibri"/>
      <family val="2"/>
    </font>
    <font>
      <b/>
      <sz val="13"/>
      <color indexed="32"/>
      <name val="Calibri"/>
      <family val="2"/>
    </font>
    <font>
      <b/>
      <sz val="11"/>
      <color indexed="32"/>
      <name val="Calibri"/>
      <family val="2"/>
    </font>
    <font>
      <sz val="11"/>
      <color indexed="32"/>
      <name val="Calibri"/>
      <family val="2"/>
    </font>
    <font>
      <sz val="11"/>
      <color indexed="34"/>
      <name val="Calibri"/>
      <family val="2"/>
    </font>
    <font>
      <sz val="11"/>
      <color indexed="37"/>
      <name val="Calibri"/>
      <family val="2"/>
    </font>
    <font>
      <b/>
      <sz val="11"/>
      <color indexed="22"/>
      <name val="Calibri"/>
      <family val="2"/>
    </font>
    <font>
      <b/>
      <sz val="18"/>
      <color indexed="32"/>
      <name val="Cambria"/>
      <family val="1"/>
    </font>
    <font>
      <sz val="11"/>
      <color indexed="10"/>
      <name val="Calibri"/>
      <family val="2"/>
    </font>
    <font>
      <sz val="8"/>
      <color indexed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8"/>
      </patternFill>
    </fill>
    <fill>
      <patternFill patternType="solid">
        <fgColor indexed="17"/>
      </patternFill>
    </fill>
    <fill>
      <patternFill patternType="solid">
        <fgColor indexed="8"/>
        <bgColor indexed="8"/>
      </patternFill>
    </fill>
    <fill>
      <patternFill patternType="solid">
        <fgColor indexed="11"/>
        <bgColor indexed="11"/>
      </patternFill>
    </fill>
    <fill>
      <patternFill patternType="solid">
        <fgColor indexed="52"/>
      </patternFill>
    </fill>
    <fill>
      <patternFill patternType="solid">
        <fgColor indexed="17"/>
        <bgColor indexed="17"/>
      </patternFill>
    </fill>
    <fill>
      <patternFill patternType="solid">
        <fgColor indexed="8"/>
      </patternFill>
    </fill>
    <fill>
      <patternFill patternType="solid">
        <fgColor indexed="19"/>
      </patternFill>
    </fill>
    <fill>
      <patternFill patternType="solid">
        <fgColor indexed="32"/>
      </patternFill>
    </fill>
    <fill>
      <patternFill patternType="solid">
        <fgColor indexed="38"/>
      </patternFill>
    </fill>
  </fills>
  <borders count="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double">
        <color indexed="0"/>
      </left>
      <right style="double">
        <color indexed="0"/>
      </right>
      <top style="double">
        <color indexed="0"/>
      </top>
      <bottom style="double">
        <color indexed="0"/>
      </bottom>
      <diagonal/>
    </border>
    <border>
      <left/>
      <right/>
      <top/>
      <bottom style="thick">
        <color indexed="0"/>
      </bottom>
      <diagonal/>
    </border>
    <border>
      <left/>
      <right/>
      <top/>
      <bottom style="thick">
        <color indexed="17"/>
      </bottom>
      <diagonal/>
    </border>
    <border>
      <left/>
      <right/>
      <top/>
      <bottom style="double">
        <color indexed="1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double">
        <color indexed="0"/>
      </bottom>
      <diagonal/>
    </border>
  </borders>
  <cellStyleXfs count="61">
    <xf numFmtId="0" fontId="0" fillId="0" borderId="0">
      <alignment vertical="top"/>
    </xf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9" fillId="0" borderId="0">
      <alignment vertical="top"/>
    </xf>
    <xf numFmtId="0" fontId="9" fillId="0" borderId="0">
      <alignment vertical="top"/>
    </xf>
    <xf numFmtId="0" fontId="5" fillId="0" borderId="1" applyNumberFormat="0" applyFont="0" applyBorder="0" applyAlignment="0" applyProtection="0"/>
    <xf numFmtId="0" fontId="6" fillId="0" borderId="0">
      <alignment vertical="top"/>
    </xf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6" fillId="0" borderId="0">
      <alignment vertical="top"/>
    </xf>
    <xf numFmtId="0" fontId="16" fillId="0" borderId="0">
      <alignment vertical="top"/>
    </xf>
    <xf numFmtId="0" fontId="16" fillId="2" borderId="0" applyNumberFormat="0" applyFont="0" applyFill="0" applyProtection="0"/>
    <xf numFmtId="0" fontId="16" fillId="2" borderId="0" applyNumberFormat="0" applyFont="0" applyFill="0" applyProtection="0"/>
    <xf numFmtId="0" fontId="16" fillId="2" borderId="0" applyNumberFormat="0" applyFont="0" applyFill="0" applyProtection="0"/>
    <xf numFmtId="0" fontId="16" fillId="2" borderId="0" applyNumberFormat="0" applyFont="0" applyFill="0" applyProtection="0"/>
    <xf numFmtId="0" fontId="16" fillId="3" borderId="0" applyNumberFormat="0" applyFont="0" applyFill="0" applyProtection="0"/>
    <xf numFmtId="0" fontId="16" fillId="4" borderId="0" applyNumberFormat="0" applyFont="0" applyFill="0" applyProtection="0"/>
    <xf numFmtId="0" fontId="16" fillId="2" borderId="0" applyNumberFormat="0" applyFont="0" applyFill="0" applyProtection="0"/>
    <xf numFmtId="0" fontId="16" fillId="2" borderId="0" applyNumberFormat="0" applyFont="0" applyFill="0" applyProtection="0"/>
    <xf numFmtId="0" fontId="16" fillId="5" borderId="0" applyNumberFormat="0" applyFont="0" applyFill="0" applyProtection="0"/>
    <xf numFmtId="0" fontId="16" fillId="2" borderId="0" applyNumberFormat="0" applyFont="0" applyFill="0" applyProtection="0"/>
    <xf numFmtId="0" fontId="16" fillId="2" borderId="0" applyNumberFormat="0" applyFont="0" applyFill="0" applyProtection="0"/>
    <xf numFmtId="0" fontId="16" fillId="6" borderId="0" applyNumberFormat="0" applyFont="0" applyFill="0" applyProtection="0"/>
    <xf numFmtId="0" fontId="18" fillId="2" borderId="0" applyNumberFormat="0" applyFont="0" applyFill="0" applyProtection="0"/>
    <xf numFmtId="0" fontId="18" fillId="2" borderId="0" applyNumberFormat="0" applyFont="0" applyFill="0" applyProtection="0"/>
    <xf numFmtId="0" fontId="18" fillId="5" borderId="0" applyNumberFormat="0" applyFont="0" applyFill="0" applyProtection="0"/>
    <xf numFmtId="0" fontId="18" fillId="7" borderId="0" applyNumberFormat="0" applyFont="0" applyFill="0" applyProtection="0"/>
    <xf numFmtId="0" fontId="18" fillId="8" borderId="0" applyNumberFormat="0" applyFont="0" applyFill="0" applyProtection="0"/>
    <xf numFmtId="0" fontId="18" fillId="9" borderId="0" applyNumberFormat="0" applyFont="0" applyFill="0" applyProtection="0"/>
    <xf numFmtId="0" fontId="18" fillId="4" borderId="0" applyNumberFormat="0" applyFont="0" applyFill="0" applyProtection="0"/>
    <xf numFmtId="0" fontId="18" fillId="4" borderId="0" applyNumberFormat="0" applyFont="0" applyFill="0" applyProtection="0"/>
    <xf numFmtId="0" fontId="18" fillId="10" borderId="0" applyNumberFormat="0" applyFont="0" applyFill="0" applyProtection="0"/>
    <xf numFmtId="0" fontId="18" fillId="7" borderId="0" applyNumberFormat="0" applyFont="0" applyFill="0" applyProtection="0"/>
    <xf numFmtId="0" fontId="18" fillId="8" borderId="0" applyNumberFormat="0" applyFont="0" applyFill="0" applyProtection="0"/>
    <xf numFmtId="0" fontId="18" fillId="11" borderId="0" applyNumberFormat="0" applyFont="0" applyFill="0" applyProtection="0"/>
    <xf numFmtId="0" fontId="19" fillId="2" borderId="0" applyNumberFormat="0" applyFont="0" applyFill="0" applyProtection="0"/>
    <xf numFmtId="0" fontId="20" fillId="8" borderId="2" applyNumberFormat="0" applyFont="0" applyProtection="0"/>
    <xf numFmtId="0" fontId="21" fillId="11" borderId="3" applyNumberFormat="0" applyFont="0" applyProtection="0"/>
    <xf numFmtId="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2" fillId="0" borderId="0" applyNumberFormat="0" applyFont="0" applyFill="0" applyAlignment="0" applyProtection="0"/>
    <xf numFmtId="0" fontId="23" fillId="2" borderId="0" applyNumberFormat="0" applyFont="0" applyFill="0" applyProtection="0"/>
    <xf numFmtId="0" fontId="24" fillId="0" borderId="4" applyNumberFormat="0" applyFont="0" applyAlignment="0" applyProtection="0"/>
    <xf numFmtId="0" fontId="25" fillId="0" borderId="4" applyNumberFormat="0" applyFont="0" applyAlignment="0" applyProtection="0"/>
    <xf numFmtId="0" fontId="26" fillId="0" borderId="5" applyNumberFormat="0" applyFont="0" applyAlignment="0" applyProtection="0"/>
    <xf numFmtId="0" fontId="26" fillId="0" borderId="0" applyNumberFormat="0" applyFont="0" applyFill="0" applyAlignment="0" applyProtection="0"/>
    <xf numFmtId="0" fontId="27" fillId="4" borderId="2" applyNumberFormat="0" applyFont="0" applyProtection="0"/>
    <xf numFmtId="0" fontId="28" fillId="0" borderId="6" applyNumberFormat="0" applyFont="0" applyAlignment="0" applyProtection="0"/>
    <xf numFmtId="0" fontId="29" fillId="2" borderId="0" applyNumberFormat="0" applyFont="0" applyFill="0" applyProtection="0"/>
    <xf numFmtId="0" fontId="16" fillId="4" borderId="7" applyNumberFormat="0" applyFont="0" applyBorder="0" applyProtection="0"/>
    <xf numFmtId="0" fontId="30" fillId="8" borderId="7" applyNumberFormat="0" applyFont="0" applyProtection="0"/>
    <xf numFmtId="0" fontId="31" fillId="0" borderId="0" applyNumberFormat="0" applyFont="0" applyFill="0" applyAlignment="0" applyProtection="0"/>
    <xf numFmtId="0" fontId="17" fillId="0" borderId="8" applyNumberFormat="0" applyFont="0" applyAlignment="0" applyProtection="0"/>
    <xf numFmtId="0" fontId="32" fillId="0" borderId="0" applyNumberFormat="0" applyFont="0" applyFill="0" applyAlignment="0" applyProtection="0"/>
    <xf numFmtId="43" fontId="35" fillId="0" borderId="0" applyFont="0" applyFill="0" applyBorder="0" applyAlignment="0" applyProtection="0"/>
  </cellStyleXfs>
  <cellXfs count="22">
    <xf numFmtId="0" fontId="0" fillId="0" borderId="0" xfId="0" applyAlignment="1"/>
    <xf numFmtId="165" fontId="0" fillId="0" borderId="0" xfId="0" applyNumberFormat="1" applyAlignment="1"/>
    <xf numFmtId="0" fontId="0" fillId="0" borderId="0" xfId="0" applyAlignment="1">
      <alignment wrapText="1"/>
    </xf>
    <xf numFmtId="165" fontId="0" fillId="0" borderId="0" xfId="0" applyNumberFormat="1" applyFill="1" applyAlignment="1"/>
    <xf numFmtId="0" fontId="10" fillId="2" borderId="0" xfId="7" applyFont="1" applyFill="1" applyBorder="1" applyAlignment="1">
      <alignment horizontal="left"/>
    </xf>
    <xf numFmtId="0" fontId="10" fillId="2" borderId="0" xfId="7" applyFont="1" applyFill="1" applyBorder="1" applyAlignment="1">
      <alignment horizontal="left" wrapText="1"/>
    </xf>
    <xf numFmtId="0" fontId="11" fillId="2" borderId="0" xfId="7" applyFont="1" applyFill="1" applyBorder="1" applyAlignment="1">
      <alignment horizontal="left"/>
    </xf>
    <xf numFmtId="0" fontId="11" fillId="2" borderId="0" xfId="7" applyFont="1" applyFill="1" applyBorder="1" applyAlignment="1">
      <alignment horizontal="left" wrapText="1"/>
    </xf>
    <xf numFmtId="0" fontId="11" fillId="2" borderId="0" xfId="7" applyFont="1" applyFill="1" applyBorder="1" applyAlignment="1" applyProtection="1">
      <alignment horizontal="right"/>
    </xf>
    <xf numFmtId="0" fontId="0" fillId="0" borderId="0" xfId="0" applyAlignment="1">
      <alignment horizontal="left"/>
    </xf>
    <xf numFmtId="165" fontId="6" fillId="0" borderId="0" xfId="0" applyNumberFormat="1" applyFont="1" applyAlignment="1"/>
    <xf numFmtId="0" fontId="6" fillId="0" borderId="0" xfId="10" applyAlignment="1"/>
    <xf numFmtId="165" fontId="13" fillId="0" borderId="0" xfId="7" applyNumberFormat="1" applyFont="1" applyBorder="1" applyAlignment="1" applyProtection="1">
      <alignment horizontal="center"/>
    </xf>
    <xf numFmtId="0" fontId="12" fillId="0" borderId="0" xfId="0" applyFont="1" applyAlignment="1"/>
    <xf numFmtId="0" fontId="0" fillId="0" borderId="0" xfId="0" applyFill="1" applyAlignment="1"/>
    <xf numFmtId="0" fontId="15" fillId="0" borderId="0" xfId="0" applyFont="1" applyAlignment="1"/>
    <xf numFmtId="0" fontId="33" fillId="0" borderId="0" xfId="8" applyFont="1" applyFill="1" applyBorder="1" applyAlignment="1" applyProtection="1">
      <alignment horizontal="right"/>
    </xf>
    <xf numFmtId="166" fontId="0" fillId="0" borderId="0" xfId="60" applyNumberFormat="1" applyFont="1" applyAlignment="1"/>
    <xf numFmtId="166" fontId="0" fillId="0" borderId="0" xfId="60" applyNumberFormat="1" applyFont="1" applyFill="1" applyAlignment="1"/>
    <xf numFmtId="166" fontId="6" fillId="0" borderId="0" xfId="60" applyNumberFormat="1" applyFont="1" applyAlignment="1"/>
    <xf numFmtId="167" fontId="0" fillId="0" borderId="0" xfId="0" applyNumberFormat="1" applyAlignment="1"/>
    <xf numFmtId="165" fontId="0" fillId="0" borderId="0" xfId="0" applyNumberFormat="1" applyAlignment="1">
      <alignment horizontal="center"/>
    </xf>
  </cellXfs>
  <cellStyles count="61">
    <cellStyle name="20% - Accent1 2" xfId="17"/>
    <cellStyle name="20% - Accent2 2" xfId="18"/>
    <cellStyle name="20% - Accent3 2" xfId="19"/>
    <cellStyle name="20% - Accent4 2" xfId="20"/>
    <cellStyle name="20% - Accent5 2" xfId="21"/>
    <cellStyle name="20% - Accent6 2" xfId="22"/>
    <cellStyle name="40% - Accent1 2" xfId="23"/>
    <cellStyle name="40% - Accent2 2" xfId="24"/>
    <cellStyle name="40% - Accent3 2" xfId="25"/>
    <cellStyle name="40% - Accent4 2" xfId="26"/>
    <cellStyle name="40% - Accent5 2" xfId="27"/>
    <cellStyle name="40% - Accent6 2" xfId="28"/>
    <cellStyle name="60% - Accent1 2" xfId="29"/>
    <cellStyle name="60% - Accent2 2" xfId="30"/>
    <cellStyle name="60% - Accent3 2" xfId="31"/>
    <cellStyle name="60% - Accent4 2" xfId="32"/>
    <cellStyle name="60% - Accent5 2" xfId="33"/>
    <cellStyle name="60% - Accent6 2" xfId="34"/>
    <cellStyle name="Accent1 2" xfId="35"/>
    <cellStyle name="Accent2 2" xfId="36"/>
    <cellStyle name="Accent3 2" xfId="37"/>
    <cellStyle name="Accent4 2" xfId="38"/>
    <cellStyle name="Accent5 2" xfId="39"/>
    <cellStyle name="Accent6 2" xfId="40"/>
    <cellStyle name="Bad 2" xfId="41"/>
    <cellStyle name="Calculation 2" xfId="42"/>
    <cellStyle name="Check Cell 2" xfId="43"/>
    <cellStyle name="Comma" xfId="60" builtinId="3"/>
    <cellStyle name="Comma 2" xfId="13"/>
    <cellStyle name="Comma0" xfId="1"/>
    <cellStyle name="Comma0 2" xfId="44"/>
    <cellStyle name="Currency0" xfId="2"/>
    <cellStyle name="Currency0 2" xfId="45"/>
    <cellStyle name="Date" xfId="3"/>
    <cellStyle name="Explanatory Text 2" xfId="46"/>
    <cellStyle name="Fixed" xfId="4"/>
    <cellStyle name="Good 2" xfId="47"/>
    <cellStyle name="Heading 1" xfId="5" builtinId="16" customBuiltin="1"/>
    <cellStyle name="Heading 1 2" xfId="48"/>
    <cellStyle name="Heading 2" xfId="6" builtinId="17" customBuiltin="1"/>
    <cellStyle name="Heading 2 2" xfId="49"/>
    <cellStyle name="Heading 3 2" xfId="50"/>
    <cellStyle name="Heading 4 2" xfId="51"/>
    <cellStyle name="Input 2" xfId="52"/>
    <cellStyle name="Linked Cell 2" xfId="53"/>
    <cellStyle name="Neutral 2" xfId="54"/>
    <cellStyle name="Normal" xfId="0" builtinId="0"/>
    <cellStyle name="Normal 2" xfId="10"/>
    <cellStyle name="Normal 2 2" xfId="14"/>
    <cellStyle name="Normal 3" xfId="7"/>
    <cellStyle name="Normal 3 2" xfId="8"/>
    <cellStyle name="Normal 4" xfId="11"/>
    <cellStyle name="Normal 4 2" xfId="15"/>
    <cellStyle name="Normal 5" xfId="12"/>
    <cellStyle name="Normal 6" xfId="16"/>
    <cellStyle name="Note 2" xfId="55"/>
    <cellStyle name="Output 2" xfId="56"/>
    <cellStyle name="Title 2" xfId="57"/>
    <cellStyle name="Total" xfId="9" builtinId="25" customBuiltin="1"/>
    <cellStyle name="Total 2" xfId="58"/>
    <cellStyle name="Warning Text 2" xfId="5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UK, Foreign and Colonial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(All)'!$D$7:$D$107</c:f>
              <c:numCache>
                <c:formatCode>_(* #,##0.0000_);_(* \(#,##0.0000\);_(* "-"??_);_(@_)</c:formatCode>
                <c:ptCount val="101"/>
                <c:pt idx="14">
                  <c:v>14.083332297480391</c:v>
                </c:pt>
                <c:pt idx="15">
                  <c:v>14.583347696844182</c:v>
                </c:pt>
                <c:pt idx="16">
                  <c:v>10.749996103844911</c:v>
                </c:pt>
                <c:pt idx="17">
                  <c:v>11.416666201915149</c:v>
                </c:pt>
                <c:pt idx="18">
                  <c:v>9.0003851084722193</c:v>
                </c:pt>
                <c:pt idx="19">
                  <c:v>11.166668831028288</c:v>
                </c:pt>
                <c:pt idx="20">
                  <c:v>13.416668797790452</c:v>
                </c:pt>
                <c:pt idx="21">
                  <c:v>12.916661827860839</c:v>
                </c:pt>
                <c:pt idx="22">
                  <c:v>12.249999803466691</c:v>
                </c:pt>
                <c:pt idx="23">
                  <c:v>12.166663554019983</c:v>
                </c:pt>
                <c:pt idx="24">
                  <c:v>11.33333928810683</c:v>
                </c:pt>
                <c:pt idx="25">
                  <c:v>13.749998209546128</c:v>
                </c:pt>
                <c:pt idx="26">
                  <c:v>13.583331600763561</c:v>
                </c:pt>
                <c:pt idx="27">
                  <c:v>14.666666666666666</c:v>
                </c:pt>
                <c:pt idx="28">
                  <c:v>12.333336599034006</c:v>
                </c:pt>
                <c:pt idx="29">
                  <c:v>10.666660826449178</c:v>
                </c:pt>
                <c:pt idx="30">
                  <c:v>10.583330332385035</c:v>
                </c:pt>
                <c:pt idx="31">
                  <c:v>12.308464509066583</c:v>
                </c:pt>
                <c:pt idx="32">
                  <c:v>12.607540507999966</c:v>
                </c:pt>
                <c:pt idx="33">
                  <c:v>11.740083761545105</c:v>
                </c:pt>
                <c:pt idx="34">
                  <c:v>12.304800755710003</c:v>
                </c:pt>
                <c:pt idx="35">
                  <c:v>11.003075858577642</c:v>
                </c:pt>
                <c:pt idx="36">
                  <c:v>10.740606916430709</c:v>
                </c:pt>
                <c:pt idx="37">
                  <c:v>12.572755452258406</c:v>
                </c:pt>
                <c:pt idx="38">
                  <c:v>12.646175552901486</c:v>
                </c:pt>
                <c:pt idx="39">
                  <c:v>12.111918445967746</c:v>
                </c:pt>
                <c:pt idx="40">
                  <c:v>11.634829111836106</c:v>
                </c:pt>
                <c:pt idx="41">
                  <c:v>10.288512958339531</c:v>
                </c:pt>
                <c:pt idx="42">
                  <c:v>9.5062068139602491</c:v>
                </c:pt>
                <c:pt idx="43">
                  <c:v>9.5958721210596725</c:v>
                </c:pt>
                <c:pt idx="44">
                  <c:v>9.7721508526520022</c:v>
                </c:pt>
                <c:pt idx="45">
                  <c:v>9.3573422499581032</c:v>
                </c:pt>
                <c:pt idx="46">
                  <c:v>8.9676127712744922</c:v>
                </c:pt>
                <c:pt idx="47">
                  <c:v>8.7418012930277929</c:v>
                </c:pt>
                <c:pt idx="48">
                  <c:v>8.6611977300167062</c:v>
                </c:pt>
                <c:pt idx="49">
                  <c:v>9.3321192957478338</c:v>
                </c:pt>
                <c:pt idx="50">
                  <c:v>9.4521901011252414</c:v>
                </c:pt>
                <c:pt idx="51">
                  <c:v>9.3965995453857776</c:v>
                </c:pt>
                <c:pt idx="52">
                  <c:v>9.4978037904675379</c:v>
                </c:pt>
                <c:pt idx="53">
                  <c:v>8.3867810398369187</c:v>
                </c:pt>
                <c:pt idx="54">
                  <c:v>7.809083358995176</c:v>
                </c:pt>
                <c:pt idx="55">
                  <c:v>7.2604343093216919</c:v>
                </c:pt>
                <c:pt idx="56">
                  <c:v>7.6481463236529912</c:v>
                </c:pt>
                <c:pt idx="57">
                  <c:v>8.9566427212584117</c:v>
                </c:pt>
                <c:pt idx="58">
                  <c:v>9.4003178271388634</c:v>
                </c:pt>
                <c:pt idx="59">
                  <c:v>8.9073878527984593</c:v>
                </c:pt>
                <c:pt idx="63">
                  <c:v>9.4880053938202362</c:v>
                </c:pt>
                <c:pt idx="64">
                  <c:v>8.2194860417162161</c:v>
                </c:pt>
                <c:pt idx="65">
                  <c:v>8.8014826096277119</c:v>
                </c:pt>
                <c:pt idx="66">
                  <c:v>9.8068788451468585</c:v>
                </c:pt>
                <c:pt idx="67">
                  <c:v>10.772960587892795</c:v>
                </c:pt>
                <c:pt idx="68">
                  <c:v>10.139318228440866</c:v>
                </c:pt>
                <c:pt idx="69">
                  <c:v>9.9958562243520337</c:v>
                </c:pt>
                <c:pt idx="70">
                  <c:v>9.2642174317075643</c:v>
                </c:pt>
                <c:pt idx="71">
                  <c:v>9.7612240425888448</c:v>
                </c:pt>
                <c:pt idx="72">
                  <c:v>12.473587498789112</c:v>
                </c:pt>
                <c:pt idx="73">
                  <c:v>11.782113793657098</c:v>
                </c:pt>
                <c:pt idx="74">
                  <c:v>10.796807864392488</c:v>
                </c:pt>
                <c:pt idx="75">
                  <c:v>11.850360161990087</c:v>
                </c:pt>
                <c:pt idx="76">
                  <c:v>16.720349164565679</c:v>
                </c:pt>
                <c:pt idx="77">
                  <c:v>20.354333570002964</c:v>
                </c:pt>
                <c:pt idx="78">
                  <c:v>32.643729189789127</c:v>
                </c:pt>
                <c:pt idx="79">
                  <c:v>27.625954141957074</c:v>
                </c:pt>
                <c:pt idx="80">
                  <c:v>43.575690247028042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(All)'!$D$7:$D$107</c:f>
              <c:numCache>
                <c:formatCode>_(* #,##0.0000_);_(* \(#,##0.0000\);_(* "-"??_);_(@_)</c:formatCode>
                <c:ptCount val="101"/>
                <c:pt idx="14">
                  <c:v>14.083332297480391</c:v>
                </c:pt>
                <c:pt idx="15">
                  <c:v>14.583347696844182</c:v>
                </c:pt>
                <c:pt idx="16">
                  <c:v>10.749996103844911</c:v>
                </c:pt>
                <c:pt idx="17">
                  <c:v>11.416666201915149</c:v>
                </c:pt>
                <c:pt idx="18">
                  <c:v>9.0003851084722193</c:v>
                </c:pt>
                <c:pt idx="19">
                  <c:v>11.166668831028288</c:v>
                </c:pt>
                <c:pt idx="20">
                  <c:v>13.416668797790452</c:v>
                </c:pt>
                <c:pt idx="21">
                  <c:v>12.916661827860839</c:v>
                </c:pt>
                <c:pt idx="22">
                  <c:v>12.249999803466691</c:v>
                </c:pt>
                <c:pt idx="23">
                  <c:v>12.166663554019983</c:v>
                </c:pt>
                <c:pt idx="24">
                  <c:v>11.33333928810683</c:v>
                </c:pt>
                <c:pt idx="25">
                  <c:v>13.749998209546128</c:v>
                </c:pt>
                <c:pt idx="26">
                  <c:v>13.583331600763561</c:v>
                </c:pt>
                <c:pt idx="27">
                  <c:v>14.666666666666666</c:v>
                </c:pt>
                <c:pt idx="28">
                  <c:v>12.333336599034006</c:v>
                </c:pt>
                <c:pt idx="29">
                  <c:v>10.666660826449178</c:v>
                </c:pt>
                <c:pt idx="30">
                  <c:v>10.583330332385035</c:v>
                </c:pt>
                <c:pt idx="31">
                  <c:v>12.308464509066583</c:v>
                </c:pt>
                <c:pt idx="32">
                  <c:v>12.607540507999966</c:v>
                </c:pt>
                <c:pt idx="33">
                  <c:v>11.740083761545105</c:v>
                </c:pt>
                <c:pt idx="34">
                  <c:v>12.304800755710003</c:v>
                </c:pt>
                <c:pt idx="35">
                  <c:v>11.003075858577642</c:v>
                </c:pt>
                <c:pt idx="36">
                  <c:v>10.740606916430709</c:v>
                </c:pt>
                <c:pt idx="37">
                  <c:v>12.572755452258406</c:v>
                </c:pt>
                <c:pt idx="38">
                  <c:v>12.646175552901486</c:v>
                </c:pt>
                <c:pt idx="39">
                  <c:v>12.111918445967746</c:v>
                </c:pt>
                <c:pt idx="40">
                  <c:v>11.634829111836106</c:v>
                </c:pt>
                <c:pt idx="41">
                  <c:v>10.288512958339531</c:v>
                </c:pt>
                <c:pt idx="42">
                  <c:v>9.5062068139602491</c:v>
                </c:pt>
                <c:pt idx="43">
                  <c:v>9.5958721210596725</c:v>
                </c:pt>
                <c:pt idx="44">
                  <c:v>9.7721508526520022</c:v>
                </c:pt>
                <c:pt idx="45">
                  <c:v>9.3573422499581032</c:v>
                </c:pt>
                <c:pt idx="46">
                  <c:v>8.9676127712744922</c:v>
                </c:pt>
                <c:pt idx="47">
                  <c:v>8.7418012930277929</c:v>
                </c:pt>
                <c:pt idx="48">
                  <c:v>8.6611977300167062</c:v>
                </c:pt>
                <c:pt idx="49">
                  <c:v>9.3321192957478338</c:v>
                </c:pt>
                <c:pt idx="50">
                  <c:v>9.4521901011252414</c:v>
                </c:pt>
                <c:pt idx="51">
                  <c:v>9.3965995453857776</c:v>
                </c:pt>
                <c:pt idx="52">
                  <c:v>9.4978037904675379</c:v>
                </c:pt>
                <c:pt idx="53">
                  <c:v>8.3867810398369187</c:v>
                </c:pt>
                <c:pt idx="54">
                  <c:v>7.809083358995176</c:v>
                </c:pt>
                <c:pt idx="55">
                  <c:v>7.2604343093216919</c:v>
                </c:pt>
                <c:pt idx="56">
                  <c:v>7.6481463236529912</c:v>
                </c:pt>
                <c:pt idx="57">
                  <c:v>8.9566427212584117</c:v>
                </c:pt>
                <c:pt idx="58">
                  <c:v>9.4003178271388634</c:v>
                </c:pt>
                <c:pt idx="59">
                  <c:v>8.9073878527984593</c:v>
                </c:pt>
                <c:pt idx="63">
                  <c:v>9.4880053938202362</c:v>
                </c:pt>
                <c:pt idx="64">
                  <c:v>8.2194860417162161</c:v>
                </c:pt>
                <c:pt idx="65">
                  <c:v>8.8014826096277119</c:v>
                </c:pt>
                <c:pt idx="66">
                  <c:v>9.8068788451468585</c:v>
                </c:pt>
                <c:pt idx="67">
                  <c:v>10.772960587892795</c:v>
                </c:pt>
                <c:pt idx="68">
                  <c:v>10.139318228440866</c:v>
                </c:pt>
                <c:pt idx="69">
                  <c:v>9.9958562243520337</c:v>
                </c:pt>
                <c:pt idx="70">
                  <c:v>9.2642174317075643</c:v>
                </c:pt>
                <c:pt idx="71">
                  <c:v>9.7612240425888448</c:v>
                </c:pt>
                <c:pt idx="72">
                  <c:v>12.473587498789112</c:v>
                </c:pt>
                <c:pt idx="73">
                  <c:v>11.782113793657098</c:v>
                </c:pt>
                <c:pt idx="74">
                  <c:v>10.796807864392488</c:v>
                </c:pt>
                <c:pt idx="75">
                  <c:v>11.850360161990087</c:v>
                </c:pt>
                <c:pt idx="76">
                  <c:v>16.720349164565679</c:v>
                </c:pt>
                <c:pt idx="77">
                  <c:v>20.354333570002964</c:v>
                </c:pt>
                <c:pt idx="78">
                  <c:v>32.643729189789127</c:v>
                </c:pt>
                <c:pt idx="79">
                  <c:v>27.625954141957074</c:v>
                </c:pt>
                <c:pt idx="80">
                  <c:v>43.575690247028042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34816"/>
        <c:axId val="622151616"/>
      </c:scatterChart>
      <c:valAx>
        <c:axId val="6221348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51616"/>
        <c:crosses val="autoZero"/>
        <c:crossBetween val="midCat"/>
        <c:majorUnit val="5"/>
      </c:valAx>
      <c:valAx>
        <c:axId val="6221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348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Basrah,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(All)'!$I$7:$I$107</c:f>
              <c:numCache>
                <c:formatCode>0.0000</c:formatCode>
                <c:ptCount val="101"/>
                <c:pt idx="33">
                  <c:v>4.1437499999999936</c:v>
                </c:pt>
                <c:pt idx="47">
                  <c:v>7.1755097895285953</c:v>
                </c:pt>
                <c:pt idx="48">
                  <c:v>6.9416117186113597</c:v>
                </c:pt>
                <c:pt idx="49">
                  <c:v>6.9261859178898177</c:v>
                </c:pt>
                <c:pt idx="50">
                  <c:v>6.7078015383315108</c:v>
                </c:pt>
                <c:pt idx="51">
                  <c:v>6.6373755125952068</c:v>
                </c:pt>
                <c:pt idx="52">
                  <c:v>6.666666666666675</c:v>
                </c:pt>
                <c:pt idx="53">
                  <c:v>6.666666666666675</c:v>
                </c:pt>
                <c:pt idx="54">
                  <c:v>6.666666666666675</c:v>
                </c:pt>
                <c:pt idx="55">
                  <c:v>6.666666666666675</c:v>
                </c:pt>
                <c:pt idx="56">
                  <c:v>6.6660608814175264</c:v>
                </c:pt>
                <c:pt idx="57">
                  <c:v>9.999325099547816</c:v>
                </c:pt>
                <c:pt idx="58">
                  <c:v>9.9999999999999893</c:v>
                </c:pt>
                <c:pt idx="59">
                  <c:v>8.6664650740852807</c:v>
                </c:pt>
                <c:pt idx="60">
                  <c:v>8.6668532512361178</c:v>
                </c:pt>
                <c:pt idx="61">
                  <c:v>9.9993145520597739</c:v>
                </c:pt>
                <c:pt idx="62">
                  <c:v>9.9998486980466819</c:v>
                </c:pt>
                <c:pt idx="63">
                  <c:v>9.9998371680263158</c:v>
                </c:pt>
                <c:pt idx="64">
                  <c:v>9.9996589940323997</c:v>
                </c:pt>
                <c:pt idx="65">
                  <c:v>10.666825387377735</c:v>
                </c:pt>
                <c:pt idx="66">
                  <c:v>4.2227138643067841</c:v>
                </c:pt>
                <c:pt idx="67">
                  <c:v>13.333333333333329</c:v>
                </c:pt>
                <c:pt idx="68">
                  <c:v>14.665354330708659</c:v>
                </c:pt>
                <c:pt idx="69">
                  <c:v>13.333333333333329</c:v>
                </c:pt>
                <c:pt idx="70">
                  <c:v>13.333333333333329</c:v>
                </c:pt>
                <c:pt idx="71">
                  <c:v>13.333333333333329</c:v>
                </c:pt>
                <c:pt idx="72">
                  <c:v>13.333333333333329</c:v>
                </c:pt>
                <c:pt idx="73">
                  <c:v>13.333333333333329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(All)'!$I$7:$I$107</c:f>
              <c:numCache>
                <c:formatCode>0.0000</c:formatCode>
                <c:ptCount val="101"/>
                <c:pt idx="33">
                  <c:v>4.1437499999999936</c:v>
                </c:pt>
                <c:pt idx="47">
                  <c:v>7.1755097895285953</c:v>
                </c:pt>
                <c:pt idx="48">
                  <c:v>6.9416117186113597</c:v>
                </c:pt>
                <c:pt idx="49">
                  <c:v>6.9261859178898177</c:v>
                </c:pt>
                <c:pt idx="50">
                  <c:v>6.7078015383315108</c:v>
                </c:pt>
                <c:pt idx="51">
                  <c:v>6.6373755125952068</c:v>
                </c:pt>
                <c:pt idx="52">
                  <c:v>6.666666666666675</c:v>
                </c:pt>
                <c:pt idx="53">
                  <c:v>6.666666666666675</c:v>
                </c:pt>
                <c:pt idx="54">
                  <c:v>6.666666666666675</c:v>
                </c:pt>
                <c:pt idx="55">
                  <c:v>6.666666666666675</c:v>
                </c:pt>
                <c:pt idx="56">
                  <c:v>6.6660608814175264</c:v>
                </c:pt>
                <c:pt idx="57">
                  <c:v>9.999325099547816</c:v>
                </c:pt>
                <c:pt idx="58">
                  <c:v>9.9999999999999893</c:v>
                </c:pt>
                <c:pt idx="59">
                  <c:v>8.6664650740852807</c:v>
                </c:pt>
                <c:pt idx="60">
                  <c:v>8.6668532512361178</c:v>
                </c:pt>
                <c:pt idx="61">
                  <c:v>9.9993145520597739</c:v>
                </c:pt>
                <c:pt idx="62">
                  <c:v>9.9998486980466819</c:v>
                </c:pt>
                <c:pt idx="63">
                  <c:v>9.9998371680263158</c:v>
                </c:pt>
                <c:pt idx="64">
                  <c:v>9.9996589940323997</c:v>
                </c:pt>
                <c:pt idx="65">
                  <c:v>10.666825387377735</c:v>
                </c:pt>
                <c:pt idx="66">
                  <c:v>4.2227138643067841</c:v>
                </c:pt>
                <c:pt idx="67">
                  <c:v>13.333333333333329</c:v>
                </c:pt>
                <c:pt idx="68">
                  <c:v>14.665354330708659</c:v>
                </c:pt>
                <c:pt idx="69">
                  <c:v>13.333333333333329</c:v>
                </c:pt>
                <c:pt idx="70">
                  <c:v>13.333333333333329</c:v>
                </c:pt>
                <c:pt idx="71">
                  <c:v>13.333333333333329</c:v>
                </c:pt>
                <c:pt idx="72">
                  <c:v>13.333333333333329</c:v>
                </c:pt>
                <c:pt idx="73">
                  <c:v>13.333333333333329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37056"/>
        <c:axId val="622171216"/>
      </c:scatterChart>
      <c:valAx>
        <c:axId val="6221370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71216"/>
        <c:crosses val="autoZero"/>
        <c:crossBetween val="midCat"/>
        <c:majorUnit val="5"/>
      </c:valAx>
      <c:valAx>
        <c:axId val="62217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370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India, Wholesale,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(All)'!$DE$7:$DE$107</c:f>
              <c:numCache>
                <c:formatCode>General</c:formatCode>
                <c:ptCount val="101"/>
                <c:pt idx="33" formatCode="0.0000">
                  <c:v>6.2423500575674469</c:v>
                </c:pt>
                <c:pt idx="44" formatCode="0.0000">
                  <c:v>5.7528409090909092</c:v>
                </c:pt>
                <c:pt idx="45" formatCode="0.0000">
                  <c:v>5.1870265151515147</c:v>
                </c:pt>
                <c:pt idx="46" formatCode="0.0000">
                  <c:v>5.1175394144144146</c:v>
                </c:pt>
                <c:pt idx="47" formatCode="0.0000">
                  <c:v>5.1314986861861867</c:v>
                </c:pt>
                <c:pt idx="48" formatCode="0.0000">
                  <c:v>5.3696167758667768</c:v>
                </c:pt>
                <c:pt idx="49" formatCode="0.0000">
                  <c:v>5.9939364079803896</c:v>
                </c:pt>
                <c:pt idx="50" formatCode="0.0000">
                  <c:v>5.9286775411775414</c:v>
                </c:pt>
                <c:pt idx="51" formatCode="0.0000">
                  <c:v>6.9333673159946301</c:v>
                </c:pt>
                <c:pt idx="52" formatCode="0.0000">
                  <c:v>6.8190491627806438</c:v>
                </c:pt>
                <c:pt idx="53" formatCode="0.0000">
                  <c:v>5.1374176596264114</c:v>
                </c:pt>
                <c:pt idx="54" formatCode="0.0000">
                  <c:v>4.4127064564333418</c:v>
                </c:pt>
                <c:pt idx="55" formatCode="0.0000">
                  <c:v>4.3406761253325055</c:v>
                </c:pt>
                <c:pt idx="56" formatCode="0.0000">
                  <c:v>5.172766516513061</c:v>
                </c:pt>
                <c:pt idx="57" formatCode="0.0000">
                  <c:v>5.8983334494751603</c:v>
                </c:pt>
                <c:pt idx="58" formatCode="0.0000">
                  <c:v>5.3438995636252002</c:v>
                </c:pt>
                <c:pt idx="59" formatCode="0.0000">
                  <c:v>5.56998588903443</c:v>
                </c:pt>
                <c:pt idx="60" formatCode="0.0000">
                  <c:v>5.6768502878172669</c:v>
                </c:pt>
                <c:pt idx="61" formatCode="0.0000">
                  <c:v>5.1326686741085048</c:v>
                </c:pt>
                <c:pt idx="62" formatCode="0.0000">
                  <c:v>4.8725678803526025</c:v>
                </c:pt>
                <c:pt idx="63" formatCode="0.0000">
                  <c:v>5.9476038538441527</c:v>
                </c:pt>
                <c:pt idx="64" formatCode="0.0000">
                  <c:v>5.1615829592743552</c:v>
                </c:pt>
                <c:pt idx="65" formatCode="0.0000">
                  <c:v>5.5816676051090255</c:v>
                </c:pt>
                <c:pt idx="66" formatCode="0.0000">
                  <c:v>6.2739586176951585</c:v>
                </c:pt>
                <c:pt idx="67" formatCode="0.0000">
                  <c:v>7.0582989239590042</c:v>
                </c:pt>
                <c:pt idx="68" formatCode="0.0000">
                  <c:v>6.9448209110212495</c:v>
                </c:pt>
                <c:pt idx="69" formatCode="0.0000">
                  <c:v>5.922744172725654</c:v>
                </c:pt>
                <c:pt idx="70" formatCode="0.0000">
                  <c:v>5.6534860716323223</c:v>
                </c:pt>
                <c:pt idx="71" formatCode="0.0000">
                  <c:v>7.1617688166944831</c:v>
                </c:pt>
                <c:pt idx="72" formatCode="0.0000">
                  <c:v>8.3753396253158368</c:v>
                </c:pt>
                <c:pt idx="73" formatCode="0.0000">
                  <c:v>6.7763577880668295</c:v>
                </c:pt>
                <c:pt idx="74" formatCode="0.0000">
                  <c:v>5.7118055555555562</c:v>
                </c:pt>
                <c:pt idx="75" formatCode="0.0000">
                  <c:v>7.588541666666667</c:v>
                </c:pt>
                <c:pt idx="76" formatCode="0.0000">
                  <c:v>8.60647627313889</c:v>
                </c:pt>
                <c:pt idx="77" formatCode="0.0000">
                  <c:v>11.123263888888888</c:v>
                </c:pt>
                <c:pt idx="78" formatCode="0.0000">
                  <c:v>11.592881944444445</c:v>
                </c:pt>
                <c:pt idx="79" formatCode="0.0000">
                  <c:v>14.801118026740433</c:v>
                </c:pt>
                <c:pt idx="80" formatCode="0.0000">
                  <c:v>15.533351117189225</c:v>
                </c:pt>
                <c:pt idx="81" formatCode="0.0000">
                  <c:v>12.822916666666668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(All)'!$DE$7:$DE$107</c:f>
              <c:numCache>
                <c:formatCode>General</c:formatCode>
                <c:ptCount val="101"/>
                <c:pt idx="33" formatCode="0.0000">
                  <c:v>6.2423500575674469</c:v>
                </c:pt>
                <c:pt idx="44" formatCode="0.0000">
                  <c:v>5.7528409090909092</c:v>
                </c:pt>
                <c:pt idx="45" formatCode="0.0000">
                  <c:v>5.1870265151515147</c:v>
                </c:pt>
                <c:pt idx="46" formatCode="0.0000">
                  <c:v>5.1175394144144146</c:v>
                </c:pt>
                <c:pt idx="47" formatCode="0.0000">
                  <c:v>5.1314986861861867</c:v>
                </c:pt>
                <c:pt idx="48" formatCode="0.0000">
                  <c:v>5.3696167758667768</c:v>
                </c:pt>
                <c:pt idx="49" formatCode="0.0000">
                  <c:v>5.9939364079803896</c:v>
                </c:pt>
                <c:pt idx="50" formatCode="0.0000">
                  <c:v>5.9286775411775414</c:v>
                </c:pt>
                <c:pt idx="51" formatCode="0.0000">
                  <c:v>6.9333673159946301</c:v>
                </c:pt>
                <c:pt idx="52" formatCode="0.0000">
                  <c:v>6.8190491627806438</c:v>
                </c:pt>
                <c:pt idx="53" formatCode="0.0000">
                  <c:v>5.1374176596264114</c:v>
                </c:pt>
                <c:pt idx="54" formatCode="0.0000">
                  <c:v>4.4127064564333418</c:v>
                </c:pt>
                <c:pt idx="55" formatCode="0.0000">
                  <c:v>4.3406761253325055</c:v>
                </c:pt>
                <c:pt idx="56" formatCode="0.0000">
                  <c:v>5.172766516513061</c:v>
                </c:pt>
                <c:pt idx="57" formatCode="0.0000">
                  <c:v>5.8983334494751603</c:v>
                </c:pt>
                <c:pt idx="58" formatCode="0.0000">
                  <c:v>5.3438995636252002</c:v>
                </c:pt>
                <c:pt idx="59" formatCode="0.0000">
                  <c:v>5.56998588903443</c:v>
                </c:pt>
                <c:pt idx="60" formatCode="0.0000">
                  <c:v>5.6768502878172669</c:v>
                </c:pt>
                <c:pt idx="61" formatCode="0.0000">
                  <c:v>5.1326686741085048</c:v>
                </c:pt>
                <c:pt idx="62" formatCode="0.0000">
                  <c:v>4.8725678803526025</c:v>
                </c:pt>
                <c:pt idx="63" formatCode="0.0000">
                  <c:v>5.9476038538441527</c:v>
                </c:pt>
                <c:pt idx="64" formatCode="0.0000">
                  <c:v>5.1615829592743552</c:v>
                </c:pt>
                <c:pt idx="65" formatCode="0.0000">
                  <c:v>5.5816676051090255</c:v>
                </c:pt>
                <c:pt idx="66" formatCode="0.0000">
                  <c:v>6.2739586176951585</c:v>
                </c:pt>
                <c:pt idx="67" formatCode="0.0000">
                  <c:v>7.0582989239590042</c:v>
                </c:pt>
                <c:pt idx="68" formatCode="0.0000">
                  <c:v>6.9448209110212495</c:v>
                </c:pt>
                <c:pt idx="69" formatCode="0.0000">
                  <c:v>5.922744172725654</c:v>
                </c:pt>
                <c:pt idx="70" formatCode="0.0000">
                  <c:v>5.6534860716323223</c:v>
                </c:pt>
                <c:pt idx="71" formatCode="0.0000">
                  <c:v>7.1617688166944831</c:v>
                </c:pt>
                <c:pt idx="72" formatCode="0.0000">
                  <c:v>8.3753396253158368</c:v>
                </c:pt>
                <c:pt idx="73" formatCode="0.0000">
                  <c:v>6.7763577880668295</c:v>
                </c:pt>
                <c:pt idx="74" formatCode="0.0000">
                  <c:v>5.7118055555555562</c:v>
                </c:pt>
                <c:pt idx="75" formatCode="0.0000">
                  <c:v>7.588541666666667</c:v>
                </c:pt>
                <c:pt idx="76" formatCode="0.0000">
                  <c:v>8.60647627313889</c:v>
                </c:pt>
                <c:pt idx="77" formatCode="0.0000">
                  <c:v>11.123263888888888</c:v>
                </c:pt>
                <c:pt idx="78" formatCode="0.0000">
                  <c:v>11.592881944444445</c:v>
                </c:pt>
                <c:pt idx="79" formatCode="0.0000">
                  <c:v>14.801118026740433</c:v>
                </c:pt>
                <c:pt idx="80" formatCode="0.0000">
                  <c:v>15.533351117189225</c:v>
                </c:pt>
                <c:pt idx="81" formatCode="0.0000">
                  <c:v>12.822916666666668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361296"/>
        <c:axId val="721484496"/>
      </c:scatterChart>
      <c:valAx>
        <c:axId val="7213612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84496"/>
        <c:crosses val="autoZero"/>
        <c:crossBetween val="midCat"/>
        <c:majorUnit val="5"/>
      </c:valAx>
      <c:valAx>
        <c:axId val="72148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612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Istanbul (Nallrihan),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(All)'!$AI$7:$AI$107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(All)'!$AI$7:$AI$107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374736"/>
        <c:axId val="721411696"/>
      </c:scatterChart>
      <c:valAx>
        <c:axId val="7213747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11696"/>
        <c:crosses val="autoZero"/>
        <c:crossBetween val="midCat"/>
        <c:majorUnit val="5"/>
      </c:valAx>
      <c:valAx>
        <c:axId val="72141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747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(Nallrihan),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(All)'!$AJ$7:$AJ$107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(All)'!$AJ$7:$AJ$107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375856"/>
        <c:axId val="721480016"/>
      </c:scatterChart>
      <c:valAx>
        <c:axId val="7213758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80016"/>
        <c:crosses val="autoZero"/>
        <c:crossBetween val="midCat"/>
        <c:majorUnit val="5"/>
      </c:valAx>
      <c:valAx>
        <c:axId val="72148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758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(Nallrihan),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(All)'!$AK$7:$AK$107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(All)'!$AK$7:$AK$107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085264"/>
        <c:axId val="543095344"/>
      </c:scatterChart>
      <c:valAx>
        <c:axId val="5430852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095344"/>
        <c:crosses val="autoZero"/>
        <c:crossBetween val="midCat"/>
        <c:majorUnit val="5"/>
      </c:valAx>
      <c:valAx>
        <c:axId val="54309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0852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UK,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(All)'!$C$7:$C$107</c:f>
              <c:numCache>
                <c:formatCode>_(* #,##0.0000_);_(* \(#,##0.0000\);_(* "-"??_);_(@_)</c:formatCode>
                <c:ptCount val="101"/>
                <c:pt idx="14">
                  <c:v>14.103197323697373</c:v>
                </c:pt>
                <c:pt idx="15">
                  <c:v>14.615357807625735</c:v>
                </c:pt>
                <c:pt idx="16">
                  <c:v>10.76402200324431</c:v>
                </c:pt>
                <c:pt idx="17">
                  <c:v>11.443868777449964</c:v>
                </c:pt>
                <c:pt idx="18">
                  <c:v>9.0114227349071232</c:v>
                </c:pt>
                <c:pt idx="19">
                  <c:v>11.128935267555438</c:v>
                </c:pt>
                <c:pt idx="20">
                  <c:v>13.369819123129771</c:v>
                </c:pt>
                <c:pt idx="21">
                  <c:v>12.898024026982984</c:v>
                </c:pt>
                <c:pt idx="22">
                  <c:v>12.259460966998478</c:v>
                </c:pt>
                <c:pt idx="23">
                  <c:v>12.159438326708802</c:v>
                </c:pt>
                <c:pt idx="24">
                  <c:v>11.350700359198783</c:v>
                </c:pt>
                <c:pt idx="25">
                  <c:v>13.73</c:v>
                </c:pt>
                <c:pt idx="26">
                  <c:v>13.58</c:v>
                </c:pt>
                <c:pt idx="27">
                  <c:v>14.64</c:v>
                </c:pt>
                <c:pt idx="28">
                  <c:v>12.29</c:v>
                </c:pt>
                <c:pt idx="29">
                  <c:v>10.67</c:v>
                </c:pt>
                <c:pt idx="30">
                  <c:v>10.58</c:v>
                </c:pt>
                <c:pt idx="31">
                  <c:v>10.19</c:v>
                </c:pt>
                <c:pt idx="32">
                  <c:v>10</c:v>
                </c:pt>
                <c:pt idx="33">
                  <c:v>9.92</c:v>
                </c:pt>
                <c:pt idx="34">
                  <c:v>10.33</c:v>
                </c:pt>
                <c:pt idx="35">
                  <c:v>8.9499999999999993</c:v>
                </c:pt>
                <c:pt idx="36">
                  <c:v>9.06</c:v>
                </c:pt>
                <c:pt idx="37">
                  <c:v>10.55</c:v>
                </c:pt>
                <c:pt idx="38">
                  <c:v>10.48</c:v>
                </c:pt>
                <c:pt idx="39">
                  <c:v>10.15</c:v>
                </c:pt>
                <c:pt idx="40">
                  <c:v>9.52</c:v>
                </c:pt>
                <c:pt idx="41">
                  <c:v>8.64</c:v>
                </c:pt>
                <c:pt idx="42">
                  <c:v>7.98</c:v>
                </c:pt>
                <c:pt idx="43">
                  <c:v>8.1999999999999993</c:v>
                </c:pt>
                <c:pt idx="44">
                  <c:v>8.14</c:v>
                </c:pt>
                <c:pt idx="45">
                  <c:v>7.82</c:v>
                </c:pt>
                <c:pt idx="46">
                  <c:v>7.48</c:v>
                </c:pt>
                <c:pt idx="47">
                  <c:v>7.47</c:v>
                </c:pt>
                <c:pt idx="48">
                  <c:v>7.46</c:v>
                </c:pt>
                <c:pt idx="49">
                  <c:v>8.17</c:v>
                </c:pt>
                <c:pt idx="50">
                  <c:v>8.56</c:v>
                </c:pt>
                <c:pt idx="51">
                  <c:v>9.0299999999999994</c:v>
                </c:pt>
                <c:pt idx="52">
                  <c:v>8.89</c:v>
                </c:pt>
                <c:pt idx="53">
                  <c:v>7.85</c:v>
                </c:pt>
                <c:pt idx="54">
                  <c:v>7.62</c:v>
                </c:pt>
                <c:pt idx="55">
                  <c:v>7.3</c:v>
                </c:pt>
                <c:pt idx="56">
                  <c:v>7.45</c:v>
                </c:pt>
                <c:pt idx="57">
                  <c:v>8.17</c:v>
                </c:pt>
                <c:pt idx="58">
                  <c:v>8.82</c:v>
                </c:pt>
                <c:pt idx="59">
                  <c:v>8.7100000000000009</c:v>
                </c:pt>
                <c:pt idx="63">
                  <c:v>8.7200000000000006</c:v>
                </c:pt>
                <c:pt idx="64">
                  <c:v>7.83</c:v>
                </c:pt>
                <c:pt idx="65">
                  <c:v>8.27</c:v>
                </c:pt>
                <c:pt idx="66">
                  <c:v>8.68</c:v>
                </c:pt>
                <c:pt idx="67">
                  <c:v>9.68</c:v>
                </c:pt>
                <c:pt idx="68">
                  <c:v>9.15</c:v>
                </c:pt>
                <c:pt idx="69">
                  <c:v>8.83</c:v>
                </c:pt>
                <c:pt idx="70">
                  <c:v>8.59</c:v>
                </c:pt>
                <c:pt idx="71">
                  <c:v>9.27</c:v>
                </c:pt>
                <c:pt idx="72">
                  <c:v>11.3</c:v>
                </c:pt>
                <c:pt idx="73">
                  <c:v>10.56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'Wheat (All)'!#REF!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084144"/>
        <c:axId val="543063424"/>
      </c:scatterChart>
      <c:valAx>
        <c:axId val="5430841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063424"/>
        <c:crosses val="autoZero"/>
        <c:crossBetween val="midCat"/>
        <c:majorUnit val="5"/>
      </c:valAx>
      <c:valAx>
        <c:axId val="54306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0841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Odessa,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(All)'!$E$7:$E$107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(All)'!$E$7:$E$107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081344"/>
        <c:axId val="543093104"/>
      </c:scatterChart>
      <c:valAx>
        <c:axId val="5430813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093104"/>
        <c:crosses val="autoZero"/>
        <c:crossBetween val="midCat"/>
        <c:majorUnit val="5"/>
      </c:valAx>
      <c:valAx>
        <c:axId val="54309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0813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Aleppo,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(All)'!$R$7:$R$107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(All)'!$R$7:$R$107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060064"/>
        <c:axId val="543079664"/>
      </c:scatterChart>
      <c:valAx>
        <c:axId val="5430600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079664"/>
        <c:crosses val="autoZero"/>
        <c:crossBetween val="midCat"/>
        <c:majorUnit val="5"/>
      </c:valAx>
      <c:valAx>
        <c:axId val="54307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0600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Alexandria,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(All)'!$AB$7:$AB$107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(All)'!$AB$7:$AB$107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082464"/>
        <c:axId val="543066224"/>
      </c:scatterChart>
      <c:valAx>
        <c:axId val="5430824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066224"/>
        <c:crosses val="autoZero"/>
        <c:crossBetween val="midCat"/>
        <c:majorUnit val="5"/>
      </c:valAx>
      <c:valAx>
        <c:axId val="54306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30824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chemeClr val="tx1"/>
                </a:solidFill>
              </a:rPr>
              <a:t>Rice, in</a:t>
            </a:r>
            <a:r>
              <a:rPr lang="en-US" sz="2000" b="1" baseline="0">
                <a:solidFill>
                  <a:schemeClr val="tx1"/>
                </a:solidFill>
              </a:rPr>
              <a:t> pound/ton</a:t>
            </a:r>
            <a:endParaRPr lang="en-US" sz="20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9568237258822105"/>
          <c:y val="3.453617106445374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1294848573010613E-2"/>
          <c:y val="3.7703768565431867E-2"/>
          <c:w val="0.51979701879312823"/>
          <c:h val="0.90432163943954558"/>
        </c:manualLayout>
      </c:layout>
      <c:lineChart>
        <c:grouping val="standard"/>
        <c:varyColors val="0"/>
        <c:ser>
          <c:idx val="1"/>
          <c:order val="0"/>
          <c:tx>
            <c:strRef>
              <c:f>'Rice (All)'!$C$6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(All)'!$C$7:$C$107</c:f>
              <c:numCache>
                <c:formatCode>_(* #,##0.0000_);_(* \(#,##0.0000\);_(* "-"??_);_(@_)</c:formatCode>
                <c:ptCount val="101"/>
                <c:pt idx="14">
                  <c:v>14.103197323697373</c:v>
                </c:pt>
                <c:pt idx="15">
                  <c:v>14.615357807625735</c:v>
                </c:pt>
                <c:pt idx="16">
                  <c:v>10.76402200324431</c:v>
                </c:pt>
                <c:pt idx="17">
                  <c:v>11.443868777449964</c:v>
                </c:pt>
                <c:pt idx="18">
                  <c:v>9.0114227349071232</c:v>
                </c:pt>
                <c:pt idx="19">
                  <c:v>11.128935267555438</c:v>
                </c:pt>
                <c:pt idx="20">
                  <c:v>13.369819123129771</c:v>
                </c:pt>
                <c:pt idx="21">
                  <c:v>12.898024026982984</c:v>
                </c:pt>
                <c:pt idx="22">
                  <c:v>12.259460966998478</c:v>
                </c:pt>
                <c:pt idx="23">
                  <c:v>12.159438326708802</c:v>
                </c:pt>
                <c:pt idx="24">
                  <c:v>11.350700359198783</c:v>
                </c:pt>
                <c:pt idx="25">
                  <c:v>13.73</c:v>
                </c:pt>
                <c:pt idx="26">
                  <c:v>13.58</c:v>
                </c:pt>
                <c:pt idx="27">
                  <c:v>14.64</c:v>
                </c:pt>
                <c:pt idx="28">
                  <c:v>12.29</c:v>
                </c:pt>
                <c:pt idx="29">
                  <c:v>10.67</c:v>
                </c:pt>
                <c:pt idx="30">
                  <c:v>10.58</c:v>
                </c:pt>
                <c:pt idx="31">
                  <c:v>10.19</c:v>
                </c:pt>
                <c:pt idx="32">
                  <c:v>10</c:v>
                </c:pt>
                <c:pt idx="33">
                  <c:v>9.92</c:v>
                </c:pt>
                <c:pt idx="34">
                  <c:v>10.33</c:v>
                </c:pt>
                <c:pt idx="35">
                  <c:v>8.9499999999999993</c:v>
                </c:pt>
                <c:pt idx="36">
                  <c:v>9.06</c:v>
                </c:pt>
                <c:pt idx="37">
                  <c:v>10.55</c:v>
                </c:pt>
                <c:pt idx="38">
                  <c:v>10.48</c:v>
                </c:pt>
                <c:pt idx="39">
                  <c:v>10.15</c:v>
                </c:pt>
                <c:pt idx="40">
                  <c:v>9.52</c:v>
                </c:pt>
                <c:pt idx="41">
                  <c:v>8.64</c:v>
                </c:pt>
                <c:pt idx="42">
                  <c:v>7.98</c:v>
                </c:pt>
                <c:pt idx="43">
                  <c:v>8.1999999999999993</c:v>
                </c:pt>
                <c:pt idx="44">
                  <c:v>8.14</c:v>
                </c:pt>
                <c:pt idx="45">
                  <c:v>7.82</c:v>
                </c:pt>
                <c:pt idx="46">
                  <c:v>7.48</c:v>
                </c:pt>
                <c:pt idx="47">
                  <c:v>7.47</c:v>
                </c:pt>
                <c:pt idx="48">
                  <c:v>7.46</c:v>
                </c:pt>
                <c:pt idx="49">
                  <c:v>8.17</c:v>
                </c:pt>
                <c:pt idx="50">
                  <c:v>8.56</c:v>
                </c:pt>
                <c:pt idx="51">
                  <c:v>9.0299999999999994</c:v>
                </c:pt>
                <c:pt idx="52">
                  <c:v>8.89</c:v>
                </c:pt>
                <c:pt idx="53">
                  <c:v>7.85</c:v>
                </c:pt>
                <c:pt idx="54">
                  <c:v>7.62</c:v>
                </c:pt>
                <c:pt idx="55">
                  <c:v>7.3</c:v>
                </c:pt>
                <c:pt idx="56">
                  <c:v>7.45</c:v>
                </c:pt>
                <c:pt idx="57">
                  <c:v>8.17</c:v>
                </c:pt>
                <c:pt idx="58">
                  <c:v>8.82</c:v>
                </c:pt>
                <c:pt idx="59">
                  <c:v>8.7100000000000009</c:v>
                </c:pt>
                <c:pt idx="63">
                  <c:v>8.7200000000000006</c:v>
                </c:pt>
                <c:pt idx="64">
                  <c:v>7.83</c:v>
                </c:pt>
                <c:pt idx="65">
                  <c:v>8.27</c:v>
                </c:pt>
                <c:pt idx="66">
                  <c:v>8.68</c:v>
                </c:pt>
                <c:pt idx="67">
                  <c:v>9.68</c:v>
                </c:pt>
                <c:pt idx="68">
                  <c:v>9.15</c:v>
                </c:pt>
                <c:pt idx="69">
                  <c:v>8.83</c:v>
                </c:pt>
                <c:pt idx="70">
                  <c:v>8.59</c:v>
                </c:pt>
                <c:pt idx="71">
                  <c:v>9.27</c:v>
                </c:pt>
                <c:pt idx="72">
                  <c:v>11.3</c:v>
                </c:pt>
                <c:pt idx="73">
                  <c:v>10.56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'Rice (All)'!$D$6</c:f>
              <c:strCache>
                <c:ptCount val="1"/>
                <c:pt idx="0">
                  <c:v>UK, Foreign and Colonial Exports, in pound/ton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(All)'!$D$7:$D$107</c:f>
              <c:numCache>
                <c:formatCode>_(* #,##0.0000_);_(* \(#,##0.0000\);_(* "-"??_);_(@_)</c:formatCode>
                <c:ptCount val="101"/>
                <c:pt idx="14">
                  <c:v>14.083332297480391</c:v>
                </c:pt>
                <c:pt idx="15">
                  <c:v>14.583347696844182</c:v>
                </c:pt>
                <c:pt idx="16">
                  <c:v>10.749996103844911</c:v>
                </c:pt>
                <c:pt idx="17">
                  <c:v>11.416666201915149</c:v>
                </c:pt>
                <c:pt idx="18">
                  <c:v>9.0003851084722193</c:v>
                </c:pt>
                <c:pt idx="19">
                  <c:v>11.166668831028288</c:v>
                </c:pt>
                <c:pt idx="20">
                  <c:v>13.416668797790452</c:v>
                </c:pt>
                <c:pt idx="21">
                  <c:v>12.916661827860839</c:v>
                </c:pt>
                <c:pt idx="22">
                  <c:v>12.249999803466691</c:v>
                </c:pt>
                <c:pt idx="23">
                  <c:v>12.166663554019983</c:v>
                </c:pt>
                <c:pt idx="24">
                  <c:v>11.33333928810683</c:v>
                </c:pt>
                <c:pt idx="25">
                  <c:v>13.749998209546128</c:v>
                </c:pt>
                <c:pt idx="26">
                  <c:v>13.583331600763561</c:v>
                </c:pt>
                <c:pt idx="27">
                  <c:v>14.666666666666666</c:v>
                </c:pt>
                <c:pt idx="28">
                  <c:v>12.333336599034006</c:v>
                </c:pt>
                <c:pt idx="29">
                  <c:v>10.666660826449178</c:v>
                </c:pt>
                <c:pt idx="30">
                  <c:v>10.583330332385035</c:v>
                </c:pt>
                <c:pt idx="31">
                  <c:v>12.308464509066583</c:v>
                </c:pt>
                <c:pt idx="32">
                  <c:v>12.607540507999966</c:v>
                </c:pt>
                <c:pt idx="33">
                  <c:v>11.740083761545105</c:v>
                </c:pt>
                <c:pt idx="34">
                  <c:v>12.304800755710003</c:v>
                </c:pt>
                <c:pt idx="35">
                  <c:v>11.003075858577642</c:v>
                </c:pt>
                <c:pt idx="36">
                  <c:v>10.740606916430709</c:v>
                </c:pt>
                <c:pt idx="37">
                  <c:v>12.572755452258406</c:v>
                </c:pt>
                <c:pt idx="38">
                  <c:v>12.646175552901486</c:v>
                </c:pt>
                <c:pt idx="39">
                  <c:v>12.111918445967746</c:v>
                </c:pt>
                <c:pt idx="40">
                  <c:v>11.634829111836106</c:v>
                </c:pt>
                <c:pt idx="41">
                  <c:v>10.288512958339531</c:v>
                </c:pt>
                <c:pt idx="42">
                  <c:v>9.5062068139602491</c:v>
                </c:pt>
                <c:pt idx="43">
                  <c:v>9.5958721210596725</c:v>
                </c:pt>
                <c:pt idx="44">
                  <c:v>9.7721508526520022</c:v>
                </c:pt>
                <c:pt idx="45">
                  <c:v>9.3573422499581032</c:v>
                </c:pt>
                <c:pt idx="46">
                  <c:v>8.9676127712744922</c:v>
                </c:pt>
                <c:pt idx="47">
                  <c:v>8.7418012930277929</c:v>
                </c:pt>
                <c:pt idx="48">
                  <c:v>8.6611977300167062</c:v>
                </c:pt>
                <c:pt idx="49">
                  <c:v>9.3321192957478338</c:v>
                </c:pt>
                <c:pt idx="50">
                  <c:v>9.4521901011252414</c:v>
                </c:pt>
                <c:pt idx="51">
                  <c:v>9.3965995453857776</c:v>
                </c:pt>
                <c:pt idx="52">
                  <c:v>9.4978037904675379</c:v>
                </c:pt>
                <c:pt idx="53">
                  <c:v>8.3867810398369187</c:v>
                </c:pt>
                <c:pt idx="54">
                  <c:v>7.809083358995176</c:v>
                </c:pt>
                <c:pt idx="55">
                  <c:v>7.2604343093216919</c:v>
                </c:pt>
                <c:pt idx="56">
                  <c:v>7.6481463236529912</c:v>
                </c:pt>
                <c:pt idx="57">
                  <c:v>8.9566427212584117</c:v>
                </c:pt>
                <c:pt idx="58">
                  <c:v>9.4003178271388634</c:v>
                </c:pt>
                <c:pt idx="59">
                  <c:v>8.9073878527984593</c:v>
                </c:pt>
                <c:pt idx="63">
                  <c:v>9.4880053938202362</c:v>
                </c:pt>
                <c:pt idx="64">
                  <c:v>8.2194860417162161</c:v>
                </c:pt>
                <c:pt idx="65">
                  <c:v>8.8014826096277119</c:v>
                </c:pt>
                <c:pt idx="66">
                  <c:v>9.8068788451468585</c:v>
                </c:pt>
                <c:pt idx="67">
                  <c:v>10.772960587892795</c:v>
                </c:pt>
                <c:pt idx="68">
                  <c:v>10.139318228440866</c:v>
                </c:pt>
                <c:pt idx="69">
                  <c:v>9.9958562243520337</c:v>
                </c:pt>
                <c:pt idx="70">
                  <c:v>9.2642174317075643</c:v>
                </c:pt>
                <c:pt idx="71">
                  <c:v>9.7612240425888448</c:v>
                </c:pt>
                <c:pt idx="72">
                  <c:v>12.473587498789112</c:v>
                </c:pt>
                <c:pt idx="73">
                  <c:v>11.782113793657098</c:v>
                </c:pt>
                <c:pt idx="74">
                  <c:v>10.796807864392488</c:v>
                </c:pt>
                <c:pt idx="75">
                  <c:v>11.850360161990087</c:v>
                </c:pt>
                <c:pt idx="76">
                  <c:v>16.720349164565679</c:v>
                </c:pt>
                <c:pt idx="77">
                  <c:v>20.354333570002964</c:v>
                </c:pt>
                <c:pt idx="78">
                  <c:v>32.643729189789127</c:v>
                </c:pt>
                <c:pt idx="79">
                  <c:v>27.625954141957074</c:v>
                </c:pt>
                <c:pt idx="80">
                  <c:v>43.575690247028042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'Rice (All)'!$F$6</c:f>
              <c:strCache>
                <c:ptCount val="1"/>
                <c:pt idx="0">
                  <c:v>Baghdad, Imports, in pound/ton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(All)'!$F$7:$F$107</c:f>
              <c:numCache>
                <c:formatCode>0.0000</c:formatCode>
                <c:ptCount val="101"/>
                <c:pt idx="26" formatCode="_(* #,##0.0000_);_(* \(#,##0.0000\);_(* &quot;-&quot;??_);_(@_)">
                  <c:v>10.944396886393285</c:v>
                </c:pt>
                <c:pt idx="27" formatCode="_(* #,##0.0000_);_(* \(#,##0.0000\);_(* &quot;-&quot;??_);_(@_)">
                  <c:v>17.68840971830986</c:v>
                </c:pt>
                <c:pt idx="28" formatCode="_(* #,##0.0000_);_(* \(#,##0.0000\);_(* &quot;-&quot;??_);_(@_)">
                  <c:v>7.5591430174850238</c:v>
                </c:pt>
                <c:pt idx="29" formatCode="_(* #,##0.0000_);_(* \(#,##0.0000\);_(* &quot;-&quot;??_);_(@_)">
                  <c:v>8.1967524419027527</c:v>
                </c:pt>
                <c:pt idx="30" formatCode="_(* #,##0.0000_);_(* \(#,##0.0000\);_(* &quot;-&quot;??_);_(@_)">
                  <c:v>11.278023563498831</c:v>
                </c:pt>
                <c:pt idx="37" formatCode="_(* #,##0.0000_);_(* \(#,##0.0000\);_(* &quot;-&quot;??_);_(@_)">
                  <c:v>10.173391260756057</c:v>
                </c:pt>
                <c:pt idx="57" formatCode="_(* #,##0.0000_);_(* \(#,##0.0000\);_(* &quot;-&quot;??_);_(@_)">
                  <c:v>11.592091571279925</c:v>
                </c:pt>
                <c:pt idx="62" formatCode="_(* #,##0.0000_);_(* \(#,##0.0000\);_(* &quot;-&quot;??_);_(@_)">
                  <c:v>27.654320987654366</c:v>
                </c:pt>
                <c:pt idx="67" formatCode="_(* #,##0.0000_);_(* \(#,##0.0000\);_(* &quot;-&quot;??_);_(@_)">
                  <c:v>13.333333333333329</c:v>
                </c:pt>
                <c:pt idx="68" formatCode="_(* #,##0.0000_);_(* \(#,##0.0000\);_(* &quot;-&quot;??_);_(@_)">
                  <c:v>13.333333333333329</c:v>
                </c:pt>
                <c:pt idx="69" formatCode="_(* #,##0.0000_);_(* \(#,##0.0000\);_(* &quot;-&quot;??_);_(@_)">
                  <c:v>14.545454545454536</c:v>
                </c:pt>
                <c:pt idx="70" formatCode="_(* #,##0.0000_);_(* \(#,##0.0000\);_(* &quot;-&quot;??_);_(@_)">
                  <c:v>13.373253493013973</c:v>
                </c:pt>
                <c:pt idx="71" formatCode="_(* #,##0.0000_);_(* \(#,##0.0000\);_(* &quot;-&quot;??_);_(@_)">
                  <c:v>12.266666666666675</c:v>
                </c:pt>
                <c:pt idx="72" formatCode="_(* #,##0.0000_);_(* \(#,##0.0000\);_(* &quot;-&quot;??_);_(@_)">
                  <c:v>20.189125295508266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'Rice (All)'!$G$6</c:f>
              <c:strCache>
                <c:ptCount val="1"/>
                <c:pt idx="0">
                  <c:v>Baghdad, Exports, in pound/ton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(All)'!$G$7:$G$107</c:f>
              <c:numCache>
                <c:formatCode>0.0000</c:formatCode>
                <c:ptCount val="101"/>
                <c:pt idx="27" formatCode="_(* #,##0.0000_);_(* \(#,##0.0000\);_(* &quot;-&quot;??_);_(@_)">
                  <c:v>13.382628830462775</c:v>
                </c:pt>
                <c:pt idx="29" formatCode="_(* #,##0.0000_);_(* \(#,##0.0000\);_(* &quot;-&quot;??_);_(@_)">
                  <c:v>10.107574919603259</c:v>
                </c:pt>
                <c:pt idx="37" formatCode="_(* #,##0.0000_);_(* \(#,##0.0000\);_(* &quot;-&quot;??_);_(@_)">
                  <c:v>11.780899979238789</c:v>
                </c:pt>
                <c:pt idx="38" formatCode="_(* #,##0.0000_);_(* \(#,##0.0000\);_(* &quot;-&quot;??_);_(@_)">
                  <c:v>9.9999999999999893</c:v>
                </c:pt>
                <c:pt idx="61" formatCode="_(* #,##0.0000_);_(* \(#,##0.0000\);_(* &quot;-&quot;??_);_(@_)">
                  <c:v>16.877637130801688</c:v>
                </c:pt>
                <c:pt idx="68" formatCode="_(* #,##0.0000_);_(* \(#,##0.0000\);_(* &quot;-&quot;??_);_(@_)">
                  <c:v>10.704225352112678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'Rice (All)'!$H$6</c:f>
              <c:strCache>
                <c:ptCount val="1"/>
                <c:pt idx="0">
                  <c:v>Baghdad,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(All)'!$H$7:$H$107</c:f>
              <c:numCache>
                <c:formatCode>0.0000</c:formatCode>
                <c:ptCount val="101"/>
                <c:pt idx="26" formatCode="_(* #,##0.0000_);_(* \(#,##0.0000\);_(* &quot;-&quot;??_);_(@_)">
                  <c:v>11.97970458711152</c:v>
                </c:pt>
                <c:pt idx="27" formatCode="_(* #,##0.0000_);_(* \(#,##0.0000\);_(* &quot;-&quot;??_);_(@_)">
                  <c:v>13.468493572134339</c:v>
                </c:pt>
                <c:pt idx="28" formatCode="_(* #,##0.0000_);_(* \(#,##0.0000\);_(* &quot;-&quot;??_);_(@_)">
                  <c:v>9.6022158213044442</c:v>
                </c:pt>
                <c:pt idx="29" formatCode="_(* #,##0.0000_);_(* \(#,##0.0000\);_(* &quot;-&quot;??_);_(@_)">
                  <c:v>8.2482694827005307</c:v>
                </c:pt>
                <c:pt idx="30" formatCode="_(* #,##0.0000_);_(* \(#,##0.0000\);_(* &quot;-&quot;??_);_(@_)">
                  <c:v>13.044251795681859</c:v>
                </c:pt>
                <c:pt idx="31" formatCode="_(* #,##0.0000_);_(* \(#,##0.0000\);_(* &quot;-&quot;??_);_(@_)">
                  <c:v>18.452151615219165</c:v>
                </c:pt>
                <c:pt idx="32" formatCode="_(* #,##0.0000_);_(* \(#,##0.0000\);_(* &quot;-&quot;??_);_(@_)">
                  <c:v>7.2228855721393055</c:v>
                </c:pt>
                <c:pt idx="33" formatCode="_(* #,##0.0000_);_(* \(#,##0.0000\);_(* &quot;-&quot;??_);_(@_)">
                  <c:v>7.2611940298507456</c:v>
                </c:pt>
                <c:pt idx="34" formatCode="_(* #,##0.0000_);_(* \(#,##0.0000\);_(* &quot;-&quot;??_);_(@_)">
                  <c:v>7.1044776119403066</c:v>
                </c:pt>
                <c:pt idx="35" formatCode="_(* #,##0.0000_);_(* \(#,##0.0000\);_(* &quot;-&quot;??_);_(@_)">
                  <c:v>7.059393939393936</c:v>
                </c:pt>
                <c:pt idx="36" formatCode="_(* #,##0.0000_);_(* \(#,##0.0000\);_(* &quot;-&quot;??_);_(@_)">
                  <c:v>7.3535353535353476</c:v>
                </c:pt>
                <c:pt idx="37" formatCode="_(* #,##0.0000_);_(* \(#,##0.0000\);_(* &quot;-&quot;??_);_(@_)">
                  <c:v>8.1454545454545535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'Rice (All)'!$I$6</c:f>
              <c:strCache>
                <c:ptCount val="1"/>
                <c:pt idx="0">
                  <c:v>Basrah,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(All)'!$I$7:$I$107</c:f>
              <c:numCache>
                <c:formatCode>0.0000</c:formatCode>
                <c:ptCount val="101"/>
                <c:pt idx="33">
                  <c:v>4.1437499999999936</c:v>
                </c:pt>
                <c:pt idx="47">
                  <c:v>7.1755097895285953</c:v>
                </c:pt>
                <c:pt idx="48">
                  <c:v>6.9416117186113597</c:v>
                </c:pt>
                <c:pt idx="49">
                  <c:v>6.9261859178898177</c:v>
                </c:pt>
                <c:pt idx="50">
                  <c:v>6.7078015383315108</c:v>
                </c:pt>
                <c:pt idx="51">
                  <c:v>6.6373755125952068</c:v>
                </c:pt>
                <c:pt idx="52">
                  <c:v>6.666666666666675</c:v>
                </c:pt>
                <c:pt idx="53">
                  <c:v>6.666666666666675</c:v>
                </c:pt>
                <c:pt idx="54">
                  <c:v>6.666666666666675</c:v>
                </c:pt>
                <c:pt idx="55">
                  <c:v>6.666666666666675</c:v>
                </c:pt>
                <c:pt idx="56">
                  <c:v>6.6660608814175264</c:v>
                </c:pt>
                <c:pt idx="57">
                  <c:v>9.999325099547816</c:v>
                </c:pt>
                <c:pt idx="58">
                  <c:v>9.9999999999999893</c:v>
                </c:pt>
                <c:pt idx="59">
                  <c:v>8.6664650740852807</c:v>
                </c:pt>
                <c:pt idx="60">
                  <c:v>8.6668532512361178</c:v>
                </c:pt>
                <c:pt idx="61">
                  <c:v>9.9993145520597739</c:v>
                </c:pt>
                <c:pt idx="62">
                  <c:v>9.9998486980466819</c:v>
                </c:pt>
                <c:pt idx="63">
                  <c:v>9.9998371680263158</c:v>
                </c:pt>
                <c:pt idx="64">
                  <c:v>9.9996589940323997</c:v>
                </c:pt>
                <c:pt idx="65">
                  <c:v>10.666825387377735</c:v>
                </c:pt>
                <c:pt idx="66">
                  <c:v>4.2227138643067841</c:v>
                </c:pt>
                <c:pt idx="67">
                  <c:v>13.333333333333329</c:v>
                </c:pt>
                <c:pt idx="68">
                  <c:v>14.665354330708659</c:v>
                </c:pt>
                <c:pt idx="69">
                  <c:v>13.333333333333329</c:v>
                </c:pt>
                <c:pt idx="70">
                  <c:v>13.333333333333329</c:v>
                </c:pt>
                <c:pt idx="71">
                  <c:v>13.333333333333329</c:v>
                </c:pt>
                <c:pt idx="72">
                  <c:v>13.333333333333329</c:v>
                </c:pt>
                <c:pt idx="73">
                  <c:v>13.333333333333329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'Rice (All)'!$J$6</c:f>
              <c:strCache>
                <c:ptCount val="1"/>
                <c:pt idx="0">
                  <c:v>Basrah,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(All)'!$J$7:$J$107</c:f>
              <c:numCache>
                <c:formatCode>0.0000</c:formatCode>
                <c:ptCount val="101"/>
                <c:pt idx="49">
                  <c:v>4.3234023823278624</c:v>
                </c:pt>
                <c:pt idx="50">
                  <c:v>5.0321235483792677</c:v>
                </c:pt>
                <c:pt idx="58">
                  <c:v>3.9195402298850559</c:v>
                </c:pt>
                <c:pt idx="59">
                  <c:v>3.6665871603398017</c:v>
                </c:pt>
                <c:pt idx="60">
                  <c:v>3.6665122194071165</c:v>
                </c:pt>
                <c:pt idx="61">
                  <c:v>3.9999468833824636</c:v>
                </c:pt>
                <c:pt idx="62">
                  <c:v>3.9998394927972321</c:v>
                </c:pt>
                <c:pt idx="63">
                  <c:v>4.0000815843684414</c:v>
                </c:pt>
                <c:pt idx="64">
                  <c:v>4.3334607380982622</c:v>
                </c:pt>
                <c:pt idx="65">
                  <c:v>4.1687041564792064</c:v>
                </c:pt>
                <c:pt idx="66">
                  <c:v>4.2222468016074979</c:v>
                </c:pt>
                <c:pt idx="67">
                  <c:v>6.2766989019052861</c:v>
                </c:pt>
                <c:pt idx="68">
                  <c:v>6.6665030313443525</c:v>
                </c:pt>
                <c:pt idx="69">
                  <c:v>6.666666666666675</c:v>
                </c:pt>
                <c:pt idx="70">
                  <c:v>6.6669315638203486</c:v>
                </c:pt>
                <c:pt idx="71">
                  <c:v>6.6664771596691299</c:v>
                </c:pt>
                <c:pt idx="72">
                  <c:v>7.3337069638127907</c:v>
                </c:pt>
                <c:pt idx="73">
                  <c:v>7.9750778816199457</c:v>
                </c:pt>
              </c:numCache>
            </c:numRef>
          </c:val>
          <c:smooth val="0"/>
        </c:ser>
        <c:ser>
          <c:idx val="13"/>
          <c:order val="7"/>
          <c:tx>
            <c:strRef>
              <c:f>'Rice (All)'!$K$6</c:f>
              <c:strCache>
                <c:ptCount val="1"/>
                <c:pt idx="0">
                  <c:v>Basrah,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(All)'!$K$7:$K$107</c:f>
              <c:numCache>
                <c:formatCode>0.0000</c:formatCode>
                <c:ptCount val="101"/>
                <c:pt idx="24">
                  <c:v>7.6469176213857057</c:v>
                </c:pt>
                <c:pt idx="25">
                  <c:v>6.7410801963993379</c:v>
                </c:pt>
                <c:pt idx="26">
                  <c:v>4.6706382978723333</c:v>
                </c:pt>
                <c:pt idx="27">
                  <c:v>6.0124386252045916</c:v>
                </c:pt>
                <c:pt idx="28">
                  <c:v>5.193671576650301</c:v>
                </c:pt>
                <c:pt idx="65">
                  <c:v>12.531468531468521</c:v>
                </c:pt>
                <c:pt idx="66">
                  <c:v>16.44755244755244</c:v>
                </c:pt>
                <c:pt idx="67">
                  <c:v>4.2275642619249538</c:v>
                </c:pt>
                <c:pt idx="68">
                  <c:v>5.5608975952582975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'Rice (All)'!$L$6</c:f>
              <c:strCache>
                <c:ptCount val="1"/>
                <c:pt idx="0">
                  <c:v>Mosul,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(All)'!$L$7:$L$107</c:f>
              <c:numCache>
                <c:formatCode>0.0000</c:formatCode>
                <c:ptCount val="101"/>
                <c:pt idx="44">
                  <c:v>10.909090909090899</c:v>
                </c:pt>
              </c:numCache>
            </c:numRef>
          </c:val>
          <c:smooth val="0"/>
        </c:ser>
        <c:ser>
          <c:idx val="17"/>
          <c:order val="9"/>
          <c:tx>
            <c:strRef>
              <c:f>'Rice (All)'!$M$6</c:f>
              <c:strCache>
                <c:ptCount val="1"/>
                <c:pt idx="0">
                  <c:v>Mosul,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(All)'!$M$7:$M$107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9"/>
          <c:order val="10"/>
          <c:tx>
            <c:strRef>
              <c:f>'Rice (All)'!$N$6</c:f>
              <c:strCache>
                <c:ptCount val="1"/>
                <c:pt idx="0">
                  <c:v>Mosul,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(All)'!$N$7:$N$107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21"/>
          <c:order val="11"/>
          <c:tx>
            <c:strRef>
              <c:f>'Rice (All)'!$S$6</c:f>
              <c:strCache>
                <c:ptCount val="1"/>
                <c:pt idx="0">
                  <c:v>Palestine,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(All)'!$S$7:$S$107</c:f>
              <c:numCache>
                <c:formatCode>0.0000</c:formatCode>
                <c:ptCount val="101"/>
                <c:pt idx="33">
                  <c:v>18.82109374081001</c:v>
                </c:pt>
                <c:pt idx="34">
                  <c:v>16.933690934114416</c:v>
                </c:pt>
                <c:pt idx="35">
                  <c:v>16.503803127740028</c:v>
                </c:pt>
                <c:pt idx="36">
                  <c:v>18.4000090406903</c:v>
                </c:pt>
                <c:pt idx="37">
                  <c:v>19.147536156170954</c:v>
                </c:pt>
                <c:pt idx="39">
                  <c:v>20.200702379800049</c:v>
                </c:pt>
                <c:pt idx="40">
                  <c:v>17.188880090750949</c:v>
                </c:pt>
                <c:pt idx="41">
                  <c:v>16.115297648731701</c:v>
                </c:pt>
                <c:pt idx="42">
                  <c:v>14.269516885032035</c:v>
                </c:pt>
                <c:pt idx="43">
                  <c:v>16.065143689245684</c:v>
                </c:pt>
                <c:pt idx="44">
                  <c:v>14.153271525240692</c:v>
                </c:pt>
                <c:pt idx="45">
                  <c:v>14.999999999999996</c:v>
                </c:pt>
                <c:pt idx="46">
                  <c:v>11.749999999999991</c:v>
                </c:pt>
                <c:pt idx="47">
                  <c:v>11.636363636363624</c:v>
                </c:pt>
                <c:pt idx="48">
                  <c:v>20.376470588235307</c:v>
                </c:pt>
                <c:pt idx="49">
                  <c:v>21</c:v>
                </c:pt>
                <c:pt idx="50">
                  <c:v>10.761904761904756</c:v>
                </c:pt>
                <c:pt idx="52">
                  <c:v>12.000000000000005</c:v>
                </c:pt>
                <c:pt idx="53">
                  <c:v>12.000000000000005</c:v>
                </c:pt>
                <c:pt idx="54">
                  <c:v>11.833333333333345</c:v>
                </c:pt>
                <c:pt idx="55">
                  <c:v>9.9999999999999893</c:v>
                </c:pt>
                <c:pt idx="56">
                  <c:v>9.9999999999999893</c:v>
                </c:pt>
                <c:pt idx="57">
                  <c:v>9.9999999999999893</c:v>
                </c:pt>
                <c:pt idx="58">
                  <c:v>15.434782608695654</c:v>
                </c:pt>
                <c:pt idx="59">
                  <c:v>10.833333333333323</c:v>
                </c:pt>
                <c:pt idx="60">
                  <c:v>10.47126436781609</c:v>
                </c:pt>
                <c:pt idx="61">
                  <c:v>9.0781843631273755</c:v>
                </c:pt>
                <c:pt idx="62">
                  <c:v>9.4601287766220938</c:v>
                </c:pt>
                <c:pt idx="63">
                  <c:v>10.315265486725673</c:v>
                </c:pt>
                <c:pt idx="64">
                  <c:v>10.264550264550266</c:v>
                </c:pt>
                <c:pt idx="65">
                  <c:v>11.766467065868255</c:v>
                </c:pt>
                <c:pt idx="66">
                  <c:v>12.621195717550828</c:v>
                </c:pt>
                <c:pt idx="67">
                  <c:v>12.762706579357662</c:v>
                </c:pt>
                <c:pt idx="69">
                  <c:v>12.969326431036528</c:v>
                </c:pt>
                <c:pt idx="70">
                  <c:v>11.633117402431214</c:v>
                </c:pt>
                <c:pt idx="71">
                  <c:v>15.425945816923264</c:v>
                </c:pt>
                <c:pt idx="72">
                  <c:v>15.999999999999993</c:v>
                </c:pt>
                <c:pt idx="73">
                  <c:v>12.368935293152749</c:v>
                </c:pt>
              </c:numCache>
            </c:numRef>
          </c:val>
          <c:smooth val="0"/>
        </c:ser>
        <c:ser>
          <c:idx val="23"/>
          <c:order val="12"/>
          <c:tx>
            <c:strRef>
              <c:f>'Rice (All)'!$T$6</c:f>
              <c:strCache>
                <c:ptCount val="1"/>
                <c:pt idx="0">
                  <c:v>Palestine,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(All)'!$T$7:$T$107</c:f>
              <c:numCache>
                <c:formatCode>0.0000</c:formatCode>
                <c:ptCount val="101"/>
                <c:pt idx="18">
                  <c:v>20.159684863806209</c:v>
                </c:pt>
                <c:pt idx="40">
                  <c:v>19.472422879812804</c:v>
                </c:pt>
              </c:numCache>
            </c:numRef>
          </c:val>
          <c:smooth val="0"/>
        </c:ser>
        <c:ser>
          <c:idx val="25"/>
          <c:order val="13"/>
          <c:tx>
            <c:strRef>
              <c:f>'Rice (All)'!$U$6</c:f>
              <c:strCache>
                <c:ptCount val="1"/>
                <c:pt idx="0">
                  <c:v>Palestine,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(All)'!$U$7:$U$107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29"/>
          <c:order val="14"/>
          <c:tx>
            <c:strRef>
              <c:f>'Rice (All)'!$W$6</c:f>
              <c:strCache>
                <c:ptCount val="1"/>
                <c:pt idx="0">
                  <c:v>Damascus,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(All)'!$W$7:$W$107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31"/>
          <c:order val="15"/>
          <c:tx>
            <c:strRef>
              <c:f>'Rice (All)'!$X$6</c:f>
              <c:strCache>
                <c:ptCount val="1"/>
                <c:pt idx="0">
                  <c:v>Damascus,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(All)'!$X$7:$X$107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33"/>
          <c:order val="16"/>
          <c:tx>
            <c:strRef>
              <c:f>'Rice (All)'!$Y$6</c:f>
              <c:strCache>
                <c:ptCount val="1"/>
                <c:pt idx="0">
                  <c:v>Beirut, Imports,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(All)'!$Y$7:$Y$107</c:f>
              <c:numCache>
                <c:formatCode>0.0000</c:formatCode>
                <c:ptCount val="101"/>
                <c:pt idx="31">
                  <c:v>15.65625</c:v>
                </c:pt>
                <c:pt idx="32">
                  <c:v>16.78125</c:v>
                </c:pt>
                <c:pt idx="33">
                  <c:v>18.291666666666664</c:v>
                </c:pt>
                <c:pt idx="36">
                  <c:v>11</c:v>
                </c:pt>
                <c:pt idx="38">
                  <c:v>16.48544423440454</c:v>
                </c:pt>
                <c:pt idx="39">
                  <c:v>13.999321573948439</c:v>
                </c:pt>
                <c:pt idx="41">
                  <c:v>11.87648456057007</c:v>
                </c:pt>
                <c:pt idx="42">
                  <c:v>12.022194821208386</c:v>
                </c:pt>
                <c:pt idx="43">
                  <c:v>11.750096824167313</c:v>
                </c:pt>
                <c:pt idx="44">
                  <c:v>10</c:v>
                </c:pt>
                <c:pt idx="45">
                  <c:v>10</c:v>
                </c:pt>
                <c:pt idx="46">
                  <c:v>9.25</c:v>
                </c:pt>
                <c:pt idx="47">
                  <c:v>8.25</c:v>
                </c:pt>
                <c:pt idx="48">
                  <c:v>9.3333333333333339</c:v>
                </c:pt>
                <c:pt idx="49">
                  <c:v>8.5</c:v>
                </c:pt>
                <c:pt idx="50">
                  <c:v>8.75</c:v>
                </c:pt>
                <c:pt idx="51">
                  <c:v>8.5</c:v>
                </c:pt>
                <c:pt idx="52">
                  <c:v>9</c:v>
                </c:pt>
                <c:pt idx="53">
                  <c:v>9.5</c:v>
                </c:pt>
                <c:pt idx="54">
                  <c:v>7.25</c:v>
                </c:pt>
                <c:pt idx="55">
                  <c:v>10.120481927710843</c:v>
                </c:pt>
                <c:pt idx="56">
                  <c:v>9</c:v>
                </c:pt>
                <c:pt idx="57">
                  <c:v>9</c:v>
                </c:pt>
                <c:pt idx="58">
                  <c:v>9.25</c:v>
                </c:pt>
                <c:pt idx="59">
                  <c:v>8.5</c:v>
                </c:pt>
                <c:pt idx="60">
                  <c:v>9</c:v>
                </c:pt>
                <c:pt idx="61">
                  <c:v>8</c:v>
                </c:pt>
              </c:numCache>
            </c:numRef>
          </c:val>
          <c:smooth val="0"/>
        </c:ser>
        <c:ser>
          <c:idx val="35"/>
          <c:order val="17"/>
          <c:tx>
            <c:strRef>
              <c:f>'Rice (All)'!$Z$6</c:f>
              <c:strCache>
                <c:ptCount val="1"/>
                <c:pt idx="0">
                  <c:v>Beirut, Exports,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(All)'!$Z$7:$Z$107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37"/>
          <c:order val="18"/>
          <c:tx>
            <c:strRef>
              <c:f>'Rice (All)'!$AA$6</c:f>
              <c:strCache>
                <c:ptCount val="1"/>
                <c:pt idx="0">
                  <c:v>Beirut, Bazaar (Local),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(All)'!$AA$7:$AA$107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38"/>
          <c:order val="19"/>
          <c:tx>
            <c:strRef>
              <c:f>'Rice (All)'!$AC$6</c:f>
              <c:strCache>
                <c:ptCount val="1"/>
                <c:pt idx="0">
                  <c:v>Istanbul (Rumeli), , in pound/ton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(All)'!$AC$7:$AC$107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40"/>
          <c:order val="20"/>
          <c:tx>
            <c:strRef>
              <c:f>'Rice (All)'!$AD$6</c:f>
              <c:strCache>
                <c:ptCount val="1"/>
                <c:pt idx="0">
                  <c:v>Istanbul (Rumeli), Exports,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(All)'!$AD$7:$AD$107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42"/>
          <c:order val="21"/>
          <c:tx>
            <c:strRef>
              <c:f>'Rice (All)'!$AE$6</c:f>
              <c:strCache>
                <c:ptCount val="1"/>
                <c:pt idx="0">
                  <c:v>Istanbul (Rumeli), Bazaar (Local), in pound/ton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(All)'!$AE$7:$AE$107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43"/>
          <c:order val="22"/>
          <c:tx>
            <c:strRef>
              <c:f>'Rice (All)'!$AF$6</c:f>
              <c:strCache>
                <c:ptCount val="1"/>
                <c:pt idx="0">
                  <c:v>Istanbul (Anatolia), 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(All)'!$AF$7:$AF$107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45"/>
          <c:order val="23"/>
          <c:tx>
            <c:strRef>
              <c:f>'Rice (All)'!$AG$6</c:f>
              <c:strCache>
                <c:ptCount val="1"/>
                <c:pt idx="0">
                  <c:v>Istanbul (Anatolia),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(All)'!$AG$7:$AG$107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47"/>
          <c:order val="24"/>
          <c:tx>
            <c:strRef>
              <c:f>'Rice (All)'!$AH$6</c:f>
              <c:strCache>
                <c:ptCount val="1"/>
                <c:pt idx="0">
                  <c:v>Istanbul (Anatolia),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(All)'!$AH$7:$AH$107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49"/>
          <c:order val="25"/>
          <c:tx>
            <c:strRef>
              <c:f>'Rice (All)'!$AL$6</c:f>
              <c:strCache>
                <c:ptCount val="1"/>
                <c:pt idx="0">
                  <c:v>Turkey,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(All)'!$AL$7:$AL$107</c:f>
              <c:numCache>
                <c:formatCode>0.0000</c:formatCode>
                <c:ptCount val="101"/>
                <c:pt idx="70">
                  <c:v>10.015331440338924</c:v>
                </c:pt>
                <c:pt idx="71">
                  <c:v>10.585101642720639</c:v>
                </c:pt>
              </c:numCache>
            </c:numRef>
          </c:val>
          <c:smooth val="0"/>
        </c:ser>
        <c:ser>
          <c:idx val="51"/>
          <c:order val="26"/>
          <c:tx>
            <c:strRef>
              <c:f>'Rice (All)'!$AM$6</c:f>
              <c:strCache>
                <c:ptCount val="1"/>
                <c:pt idx="0">
                  <c:v>Turkey,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(All)'!$AM$7:$AM$107</c:f>
              <c:numCache>
                <c:formatCode>0.0000</c:formatCode>
                <c:ptCount val="101"/>
                <c:pt idx="71">
                  <c:v>3.4770514603616132</c:v>
                </c:pt>
              </c:numCache>
            </c:numRef>
          </c:val>
          <c:smooth val="0"/>
        </c:ser>
        <c:ser>
          <c:idx val="53"/>
          <c:order val="27"/>
          <c:tx>
            <c:strRef>
              <c:f>'Rice (All)'!$AN$6</c:f>
              <c:strCache>
                <c:ptCount val="1"/>
                <c:pt idx="0">
                  <c:v>Turkey,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(All)'!$AN$7:$AN$107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55"/>
          <c:order val="28"/>
          <c:tx>
            <c:strRef>
              <c:f>'Rice (All)'!$AO$6</c:f>
              <c:strCache>
                <c:ptCount val="1"/>
                <c:pt idx="0">
                  <c:v>Constantinople, Imports, in pound/ton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(All)'!$AO$7:$AO$107</c:f>
              <c:numCache>
                <c:formatCode>0.0000</c:formatCode>
                <c:ptCount val="101"/>
                <c:pt idx="57">
                  <c:v>15</c:v>
                </c:pt>
                <c:pt idx="67">
                  <c:v>14.251401120896718</c:v>
                </c:pt>
                <c:pt idx="70">
                  <c:v>9.0243902439024382</c:v>
                </c:pt>
              </c:numCache>
            </c:numRef>
          </c:val>
          <c:smooth val="0"/>
        </c:ser>
        <c:ser>
          <c:idx val="57"/>
          <c:order val="29"/>
          <c:tx>
            <c:strRef>
              <c:f>'Rice (All)'!$AP$6</c:f>
              <c:strCache>
                <c:ptCount val="1"/>
                <c:pt idx="0">
                  <c:v>Constantinople, Exports, in pound/ton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(All)'!$AP$7:$AP$107</c:f>
              <c:numCache>
                <c:formatCode>0.0000</c:formatCode>
                <c:ptCount val="101"/>
                <c:pt idx="45">
                  <c:v>17.389285705705277</c:v>
                </c:pt>
                <c:pt idx="46">
                  <c:v>13.81818181818182</c:v>
                </c:pt>
              </c:numCache>
            </c:numRef>
          </c:val>
          <c:smooth val="0"/>
        </c:ser>
        <c:ser>
          <c:idx val="59"/>
          <c:order val="30"/>
          <c:tx>
            <c:strRef>
              <c:f>'Rice (All)'!$AQ$6</c:f>
              <c:strCache>
                <c:ptCount val="1"/>
                <c:pt idx="0">
                  <c:v>Constantinople, Bazaar (Local), in pound/ton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(All)'!$AQ$7:$AQ$107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61"/>
          <c:order val="31"/>
          <c:tx>
            <c:strRef>
              <c:f>'Rice (All)'!$AR$6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(All)'!$AR$7:$AR$107</c:f>
              <c:numCache>
                <c:formatCode>0.0000</c:formatCode>
                <c:ptCount val="101"/>
                <c:pt idx="43">
                  <c:v>15</c:v>
                </c:pt>
                <c:pt idx="44">
                  <c:v>13</c:v>
                </c:pt>
                <c:pt idx="45">
                  <c:v>11.493670886075948</c:v>
                </c:pt>
                <c:pt idx="46">
                  <c:v>13.280106453759149</c:v>
                </c:pt>
                <c:pt idx="47">
                  <c:v>11.994261119081779</c:v>
                </c:pt>
                <c:pt idx="48">
                  <c:v>12.009569377990431</c:v>
                </c:pt>
                <c:pt idx="49">
                  <c:v>12.871287128712872</c:v>
                </c:pt>
                <c:pt idx="50">
                  <c:v>12.79954571266326</c:v>
                </c:pt>
                <c:pt idx="51">
                  <c:v>10.782208588957056</c:v>
                </c:pt>
                <c:pt idx="52">
                  <c:v>12</c:v>
                </c:pt>
                <c:pt idx="53">
                  <c:v>12.006717044500419</c:v>
                </c:pt>
                <c:pt idx="54">
                  <c:v>11.994996873045654</c:v>
                </c:pt>
                <c:pt idx="55">
                  <c:v>12.004479283314671</c:v>
                </c:pt>
                <c:pt idx="56">
                  <c:v>12.005885237861698</c:v>
                </c:pt>
                <c:pt idx="57">
                  <c:v>13.99390243902439</c:v>
                </c:pt>
                <c:pt idx="58">
                  <c:v>13.969335604770016</c:v>
                </c:pt>
                <c:pt idx="59">
                  <c:v>13.965822038892162</c:v>
                </c:pt>
                <c:pt idx="60">
                  <c:v>11.843393148450245</c:v>
                </c:pt>
                <c:pt idx="61">
                  <c:v>9.9640933572710964</c:v>
                </c:pt>
                <c:pt idx="62">
                  <c:v>9.9933199732798919</c:v>
                </c:pt>
                <c:pt idx="63">
                  <c:v>9.9903753609239647</c:v>
                </c:pt>
                <c:pt idx="64">
                  <c:v>9.9970700263697623</c:v>
                </c:pt>
                <c:pt idx="65">
                  <c:v>10.016518004625041</c:v>
                </c:pt>
                <c:pt idx="66">
                  <c:v>10</c:v>
                </c:pt>
                <c:pt idx="67">
                  <c:v>10.397753860552177</c:v>
                </c:pt>
                <c:pt idx="68">
                  <c:v>11.541593160537387</c:v>
                </c:pt>
                <c:pt idx="69">
                  <c:v>11.135623869801085</c:v>
                </c:pt>
              </c:numCache>
            </c:numRef>
          </c:val>
          <c:smooth val="0"/>
        </c:ser>
        <c:ser>
          <c:idx val="63"/>
          <c:order val="32"/>
          <c:tx>
            <c:strRef>
              <c:f>'Rice (All)'!$AS$6</c:f>
              <c:strCache>
                <c:ptCount val="1"/>
                <c:pt idx="0">
                  <c:v>Trebizond (Anatolia),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(All)'!$AS$7:$AS$107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65"/>
          <c:order val="33"/>
          <c:tx>
            <c:strRef>
              <c:f>'Rice (All)'!$AT$6</c:f>
              <c:strCache>
                <c:ptCount val="1"/>
                <c:pt idx="0">
                  <c:v>Trebizond (Anatolia),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(All)'!$AT$7:$AT$107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67"/>
          <c:order val="34"/>
          <c:tx>
            <c:strRef>
              <c:f>'Rice (All)'!$AU$6</c:f>
              <c:strCache>
                <c:ptCount val="1"/>
                <c:pt idx="0">
                  <c:v>Trebizond (Persia),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(All)'!$AU$7:$AU$107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69"/>
          <c:order val="35"/>
          <c:tx>
            <c:strRef>
              <c:f>'Rice (All)'!$AV$6</c:f>
              <c:strCache>
                <c:ptCount val="1"/>
                <c:pt idx="0">
                  <c:v>Trebizond (Persia),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(All)'!$AV$7:$AV$107</c:f>
              <c:numCache>
                <c:formatCode>0.0000</c:formatCode>
                <c:ptCount val="101"/>
                <c:pt idx="43">
                  <c:v>40</c:v>
                </c:pt>
                <c:pt idx="44">
                  <c:v>40</c:v>
                </c:pt>
              </c:numCache>
            </c:numRef>
          </c:val>
          <c:smooth val="0"/>
        </c:ser>
        <c:ser>
          <c:idx val="71"/>
          <c:order val="36"/>
          <c:tx>
            <c:strRef>
              <c:f>'Rice (All)'!$AW$6</c:f>
              <c:strCache>
                <c:ptCount val="1"/>
                <c:pt idx="0">
                  <c:v>Trebizond (Persia),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(All)'!$AW$7:$AW$107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73"/>
          <c:order val="37"/>
          <c:tx>
            <c:strRef>
              <c:f>'Rice (All)'!$AX$6</c:f>
              <c:strCache>
                <c:ptCount val="1"/>
                <c:pt idx="0">
                  <c:v>Izmir,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(All)'!$AX$7:$AX$107</c:f>
              <c:numCache>
                <c:formatCode>0.0000</c:formatCode>
                <c:ptCount val="101"/>
                <c:pt idx="42">
                  <c:v>20</c:v>
                </c:pt>
                <c:pt idx="43">
                  <c:v>20.007376263185073</c:v>
                </c:pt>
                <c:pt idx="44">
                  <c:v>23.196855635786346</c:v>
                </c:pt>
                <c:pt idx="45">
                  <c:v>20.000154618054751</c:v>
                </c:pt>
                <c:pt idx="46">
                  <c:v>18.000000000000004</c:v>
                </c:pt>
                <c:pt idx="48">
                  <c:v>16</c:v>
                </c:pt>
                <c:pt idx="50">
                  <c:v>15.999940062784233</c:v>
                </c:pt>
                <c:pt idx="51">
                  <c:v>16</c:v>
                </c:pt>
                <c:pt idx="52">
                  <c:v>13.333333333333332</c:v>
                </c:pt>
                <c:pt idx="54">
                  <c:v>15.999858639761101</c:v>
                </c:pt>
                <c:pt idx="65">
                  <c:v>7.7540084388185653</c:v>
                </c:pt>
                <c:pt idx="66">
                  <c:v>10.599746789654549</c:v>
                </c:pt>
                <c:pt idx="67">
                  <c:v>11.286415042921378</c:v>
                </c:pt>
                <c:pt idx="68">
                  <c:v>12.933288500336248</c:v>
                </c:pt>
                <c:pt idx="70">
                  <c:v>12.380202179335697</c:v>
                </c:pt>
              </c:numCache>
            </c:numRef>
          </c:val>
          <c:smooth val="0"/>
        </c:ser>
        <c:ser>
          <c:idx val="75"/>
          <c:order val="38"/>
          <c:tx>
            <c:strRef>
              <c:f>'Rice (All)'!$AY$6</c:f>
              <c:strCache>
                <c:ptCount val="1"/>
                <c:pt idx="0">
                  <c:v>Izmir,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(All)'!$AY$7:$AY$107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77"/>
          <c:order val="39"/>
          <c:tx>
            <c:strRef>
              <c:f>'Rice (All)'!$AZ$6</c:f>
              <c:strCache>
                <c:ptCount val="1"/>
                <c:pt idx="0">
                  <c:v>Izmir,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(All)'!$AZ$7:$AZ$107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79"/>
          <c:order val="40"/>
          <c:tx>
            <c:strRef>
              <c:f>'Rice (All)'!$BA$6</c:f>
              <c:strCache>
                <c:ptCount val="1"/>
                <c:pt idx="0">
                  <c:v>Alexandretta,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(All)'!$BA$7:$BA$107</c:f>
              <c:numCache>
                <c:formatCode>0.0000</c:formatCode>
                <c:ptCount val="101"/>
                <c:pt idx="38" formatCode="_(* #,##0.0000_);_(* \(#,##0.0000\);_(* &quot;-&quot;??_);_(@_)">
                  <c:v>17.678571428571427</c:v>
                </c:pt>
                <c:pt idx="39" formatCode="_(* #,##0.0000_);_(* \(#,##0.0000\);_(* &quot;-&quot;??_);_(@_)">
                  <c:v>21.698924731182796</c:v>
                </c:pt>
                <c:pt idx="40" formatCode="_(* #,##0.0000_);_(* \(#,##0.0000\);_(* &quot;-&quot;??_);_(@_)">
                  <c:v>22.571428571428573</c:v>
                </c:pt>
                <c:pt idx="41" formatCode="_(* #,##0.0000_);_(* \(#,##0.0000\);_(* &quot;-&quot;??_);_(@_)">
                  <c:v>22.671703296703299</c:v>
                </c:pt>
                <c:pt idx="42" formatCode="_(* #,##0.0000_);_(* \(#,##0.0000\);_(* &quot;-&quot;??_);_(@_)">
                  <c:v>20.405953991880917</c:v>
                </c:pt>
                <c:pt idx="43" formatCode="_(* #,##0.0000_);_(* \(#,##0.0000\);_(* &quot;-&quot;??_);_(@_)">
                  <c:v>18.319008264462813</c:v>
                </c:pt>
                <c:pt idx="47" formatCode="_(* #,##0.0000_);_(* \(#,##0.0000\);_(* &quot;-&quot;??_);_(@_)">
                  <c:v>22.542271562766867</c:v>
                </c:pt>
                <c:pt idx="48" formatCode="_(* #,##0.0000_);_(* \(#,##0.0000\);_(* &quot;-&quot;??_);_(@_)">
                  <c:v>22.567357512953368</c:v>
                </c:pt>
                <c:pt idx="49" formatCode="_(* #,##0.0000_);_(* \(#,##0.0000\);_(* &quot;-&quot;??_);_(@_)">
                  <c:v>19.961928934010153</c:v>
                </c:pt>
                <c:pt idx="50" formatCode="_(* #,##0.0000_);_(* \(#,##0.0000\);_(* &quot;-&quot;??_);_(@_)">
                  <c:v>15.807807807807794</c:v>
                </c:pt>
                <c:pt idx="51" formatCode="_(* #,##0.0000_);_(* \(#,##0.0000\);_(* &quot;-&quot;??_);_(@_)">
                  <c:v>13.159999999999988</c:v>
                </c:pt>
                <c:pt idx="52" formatCode="_(* #,##0.0000_);_(* \(#,##0.0000\);_(* &quot;-&quot;??_);_(@_)">
                  <c:v>10.49374999999999</c:v>
                </c:pt>
                <c:pt idx="53" formatCode="_(* #,##0.0000_);_(* \(#,##0.0000\);_(* &quot;-&quot;??_);_(@_)">
                  <c:v>10.446985446985437</c:v>
                </c:pt>
                <c:pt idx="54" formatCode="_(* #,##0.0000_);_(* \(#,##0.0000\);_(* &quot;-&quot;??_);_(@_)">
                  <c:v>10.411371237458184</c:v>
                </c:pt>
                <c:pt idx="55" formatCode="_(* #,##0.0000_);_(* \(#,##0.0000\);_(* &quot;-&quot;??_);_(@_)">
                  <c:v>10.404896421845566</c:v>
                </c:pt>
                <c:pt idx="56" formatCode="_(* #,##0.0000_);_(* \(#,##0.0000\);_(* &quot;-&quot;??_);_(@_)">
                  <c:v>10.446153846153836</c:v>
                </c:pt>
                <c:pt idx="57" formatCode="_(* #,##0.0000_);_(* \(#,##0.0000\);_(* &quot;-&quot;??_);_(@_)">
                  <c:v>10.475330926594456</c:v>
                </c:pt>
                <c:pt idx="58" formatCode="_(* #,##0.0000_);_(* \(#,##0.0000\);_(* &quot;-&quot;??_);_(@_)">
                  <c:v>10.459183673469377</c:v>
                </c:pt>
                <c:pt idx="59" formatCode="_(* #,##0.0000_);_(* \(#,##0.0000\);_(* &quot;-&quot;??_);_(@_)">
                  <c:v>10.633898305084735</c:v>
                </c:pt>
                <c:pt idx="60" formatCode="_(* #,##0.0000_);_(* \(#,##0.0000\);_(* &quot;-&quot;??_);_(@_)">
                  <c:v>10.006433823529402</c:v>
                </c:pt>
                <c:pt idx="61" formatCode="_(* #,##0.0000_);_(* \(#,##0.0000\);_(* &quot;-&quot;??_);_(@_)">
                  <c:v>10.337423312883427</c:v>
                </c:pt>
                <c:pt idx="62" formatCode="_(* #,##0.0000_);_(* \(#,##0.0000\);_(* &quot;-&quot;??_);_(@_)">
                  <c:v>10.239591516103683</c:v>
                </c:pt>
                <c:pt idx="63" formatCode="_(* #,##0.0000_);_(* \(#,##0.0000\);_(* &quot;-&quot;??_);_(@_)">
                  <c:v>10.262308313155762</c:v>
                </c:pt>
                <c:pt idx="64" formatCode="_(* #,##0.0000_);_(* \(#,##0.0000\);_(* &quot;-&quot;??_);_(@_)">
                  <c:v>10.380132450331118</c:v>
                </c:pt>
                <c:pt idx="65" formatCode="_(* #,##0.0000_);_(* \(#,##0.0000\);_(* &quot;-&quot;??_);_(@_)">
                  <c:v>8.4763670064874805</c:v>
                </c:pt>
                <c:pt idx="66" formatCode="_(* #,##0.0000_);_(* \(#,##0.0000\);_(* &quot;-&quot;??_);_(@_)">
                  <c:v>10.306122448979583</c:v>
                </c:pt>
                <c:pt idx="67" formatCode="_(* #,##0.0000_);_(* \(#,##0.0000\);_(* &quot;-&quot;??_);_(@_)">
                  <c:v>10.281288723667895</c:v>
                </c:pt>
                <c:pt idx="68" formatCode="_(* #,##0.0000_);_(* \(#,##0.0000\);_(* &quot;-&quot;??_);_(@_)">
                  <c:v>10.361702127659566</c:v>
                </c:pt>
                <c:pt idx="69" formatCode="_(* #,##0.0000_);_(* \(#,##0.0000\);_(* &quot;-&quot;??_);_(@_)">
                  <c:v>10.229793977812987</c:v>
                </c:pt>
                <c:pt idx="70" formatCode="_(* #,##0.0000_);_(* \(#,##0.0000\);_(* &quot;-&quot;??_);_(@_)">
                  <c:v>10.165228113440186</c:v>
                </c:pt>
                <c:pt idx="71" formatCode="_(* #,##0.0000_);_(* \(#,##0.0000\);_(* &quot;-&quot;??_);_(@_)">
                  <c:v>10.001851851851853</c:v>
                </c:pt>
                <c:pt idx="72" formatCode="_(* #,##0.0000_);_(* \(#,##0.0000\);_(* &quot;-&quot;??_);_(@_)">
                  <c:v>9.9773684210526312</c:v>
                </c:pt>
                <c:pt idx="73" formatCode="_(* #,##0.0000_);_(* \(#,##0.0000\);_(* &quot;-&quot;??_);_(@_)">
                  <c:v>10.033946488294315</c:v>
                </c:pt>
              </c:numCache>
            </c:numRef>
          </c:val>
          <c:smooth val="0"/>
        </c:ser>
        <c:ser>
          <c:idx val="81"/>
          <c:order val="41"/>
          <c:tx>
            <c:strRef>
              <c:f>'Rice (All)'!$BB$6</c:f>
              <c:strCache>
                <c:ptCount val="1"/>
                <c:pt idx="0">
                  <c:v>Alexandretta,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(All)'!$BB$7:$BB$107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83"/>
          <c:order val="42"/>
          <c:tx>
            <c:strRef>
              <c:f>'Rice (All)'!$BC$6</c:f>
              <c:strCache>
                <c:ptCount val="1"/>
                <c:pt idx="0">
                  <c:v>Alexandretta,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(All)'!$BC$7:$BC$107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85"/>
          <c:order val="43"/>
          <c:tx>
            <c:strRef>
              <c:f>'Rice (All)'!$BD$6</c:f>
              <c:strCache>
                <c:ptCount val="1"/>
                <c:pt idx="0">
                  <c:v>Ispahan,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(All)'!$BD$7:$BD$107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87"/>
          <c:order val="44"/>
          <c:tx>
            <c:strRef>
              <c:f>'Rice (All)'!$BE$6</c:f>
              <c:strCache>
                <c:ptCount val="1"/>
                <c:pt idx="0">
                  <c:v>Ispahan,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(All)'!$BE$7:$BE$107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89"/>
          <c:order val="45"/>
          <c:tx>
            <c:strRef>
              <c:f>'Rice (All)'!$BF$6</c:f>
              <c:strCache>
                <c:ptCount val="1"/>
                <c:pt idx="0">
                  <c:v>Ispahan,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(All)'!$BF$7:$BF$107</c:f>
              <c:numCache>
                <c:formatCode>0.0000</c:formatCode>
                <c:ptCount val="101"/>
                <c:pt idx="52">
                  <c:v>12.685228881547891</c:v>
                </c:pt>
                <c:pt idx="53">
                  <c:v>14.664484451718483</c:v>
                </c:pt>
                <c:pt idx="55">
                  <c:v>13.784615384615376</c:v>
                </c:pt>
                <c:pt idx="56">
                  <c:v>11.942117288651939</c:v>
                </c:pt>
                <c:pt idx="58">
                  <c:v>16.410256410256419</c:v>
                </c:pt>
              </c:numCache>
            </c:numRef>
          </c:val>
          <c:smooth val="0"/>
        </c:ser>
        <c:ser>
          <c:idx val="91"/>
          <c:order val="46"/>
          <c:tx>
            <c:strRef>
              <c:f>'Rice (All)'!$BG$6</c:f>
              <c:strCache>
                <c:ptCount val="1"/>
                <c:pt idx="0">
                  <c:v>Yezd,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(All)'!$BG$7:$BG$107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93"/>
          <c:order val="47"/>
          <c:tx>
            <c:strRef>
              <c:f>'Rice (All)'!$BH$6</c:f>
              <c:strCache>
                <c:ptCount val="1"/>
                <c:pt idx="0">
                  <c:v>Yezd,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(All)'!$BH$7:$BH$107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95"/>
          <c:order val="48"/>
          <c:tx>
            <c:strRef>
              <c:f>'Rice (All)'!$BI$6</c:f>
              <c:strCache>
                <c:ptCount val="1"/>
                <c:pt idx="0">
                  <c:v>Yezd,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(All)'!$BI$7:$BI$107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97"/>
          <c:order val="49"/>
          <c:tx>
            <c:strRef>
              <c:f>'Rice (All)'!$BJ$6</c:f>
              <c:strCache>
                <c:ptCount val="1"/>
                <c:pt idx="0">
                  <c:v>Khorasan,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(All)'!$BJ$7:$BJ$107</c:f>
              <c:numCache>
                <c:formatCode>0.0000</c:formatCode>
                <c:ptCount val="101"/>
                <c:pt idx="62">
                  <c:v>16.242858193766711</c:v>
                </c:pt>
                <c:pt idx="63">
                  <c:v>21.99941844236568</c:v>
                </c:pt>
                <c:pt idx="64">
                  <c:v>25.879577761119936</c:v>
                </c:pt>
                <c:pt idx="65">
                  <c:v>19.574988028994611</c:v>
                </c:pt>
                <c:pt idx="66">
                  <c:v>21.897655873991074</c:v>
                </c:pt>
                <c:pt idx="67">
                  <c:v>21.821411611170394</c:v>
                </c:pt>
                <c:pt idx="68">
                  <c:v>19.587129848532019</c:v>
                </c:pt>
                <c:pt idx="69">
                  <c:v>17.939606421844463</c:v>
                </c:pt>
                <c:pt idx="70">
                  <c:v>17.858419541786276</c:v>
                </c:pt>
                <c:pt idx="71">
                  <c:v>22.475728695187936</c:v>
                </c:pt>
                <c:pt idx="72">
                  <c:v>30.492258845972223</c:v>
                </c:pt>
              </c:numCache>
            </c:numRef>
          </c:val>
          <c:smooth val="0"/>
        </c:ser>
        <c:ser>
          <c:idx val="99"/>
          <c:order val="50"/>
          <c:tx>
            <c:strRef>
              <c:f>'Rice (All)'!$BK$6</c:f>
              <c:strCache>
                <c:ptCount val="1"/>
                <c:pt idx="0">
                  <c:v>Khorasan,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(All)'!$BK$7:$BK$107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01"/>
          <c:order val="51"/>
          <c:tx>
            <c:strRef>
              <c:f>'Rice (All)'!$BL$6</c:f>
              <c:strCache>
                <c:ptCount val="1"/>
                <c:pt idx="0">
                  <c:v>Khorasan,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(All)'!$BL$7:$BL$107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03"/>
          <c:order val="52"/>
          <c:tx>
            <c:strRef>
              <c:f>'Rice (All)'!$BM$6</c:f>
              <c:strCache>
                <c:ptCount val="1"/>
                <c:pt idx="0">
                  <c:v>Kermanshah,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(All)'!$BM$7:$BM$107</c:f>
              <c:numCache>
                <c:formatCode>0.0000</c:formatCode>
                <c:ptCount val="101"/>
                <c:pt idx="63">
                  <c:v>18.02173821813756</c:v>
                </c:pt>
                <c:pt idx="64">
                  <c:v>19.267416574291122</c:v>
                </c:pt>
              </c:numCache>
            </c:numRef>
          </c:val>
          <c:smooth val="0"/>
        </c:ser>
        <c:ser>
          <c:idx val="105"/>
          <c:order val="53"/>
          <c:tx>
            <c:strRef>
              <c:f>'Rice (All)'!$BN$6</c:f>
              <c:strCache>
                <c:ptCount val="1"/>
                <c:pt idx="0">
                  <c:v>Kermanshah,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(All)'!$BN$7:$BN$107</c:f>
              <c:numCache>
                <c:formatCode>0.0000</c:formatCode>
                <c:ptCount val="101"/>
                <c:pt idx="63">
                  <c:v>10.448156150214981</c:v>
                </c:pt>
                <c:pt idx="64">
                  <c:v>5.5294390998183998</c:v>
                </c:pt>
                <c:pt idx="65">
                  <c:v>12.307692307692299</c:v>
                </c:pt>
              </c:numCache>
            </c:numRef>
          </c:val>
          <c:smooth val="0"/>
        </c:ser>
        <c:ser>
          <c:idx val="107"/>
          <c:order val="54"/>
          <c:tx>
            <c:strRef>
              <c:f>'Rice (All)'!$BO$6</c:f>
              <c:strCache>
                <c:ptCount val="1"/>
                <c:pt idx="0">
                  <c:v>Kermanshah,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(All)'!$BO$7:$BO$107</c:f>
              <c:numCache>
                <c:formatCode>0.0000</c:formatCode>
                <c:ptCount val="101"/>
                <c:pt idx="62">
                  <c:v>18.515519568151181</c:v>
                </c:pt>
                <c:pt idx="64">
                  <c:v>19.19268849961918</c:v>
                </c:pt>
              </c:numCache>
            </c:numRef>
          </c:val>
          <c:smooth val="0"/>
        </c:ser>
        <c:ser>
          <c:idx val="109"/>
          <c:order val="55"/>
          <c:tx>
            <c:strRef>
              <c:f>'Rice (All)'!$BP$6</c:f>
              <c:strCache>
                <c:ptCount val="1"/>
                <c:pt idx="0">
                  <c:v>Kerman, Imports, in pound/ton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(All)'!$BP$7:$BP$107</c:f>
              <c:numCache>
                <c:formatCode>0.0000</c:formatCode>
                <c:ptCount val="101"/>
                <c:pt idx="68">
                  <c:v>13.333333333333339</c:v>
                </c:pt>
              </c:numCache>
            </c:numRef>
          </c:val>
          <c:smooth val="0"/>
        </c:ser>
        <c:ser>
          <c:idx val="111"/>
          <c:order val="56"/>
          <c:tx>
            <c:strRef>
              <c:f>'Rice (All)'!$BQ$6</c:f>
              <c:strCache>
                <c:ptCount val="1"/>
                <c:pt idx="0">
                  <c:v>Kerman, Exports, in pound/ton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(All)'!$BQ$7:$BQ$107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13"/>
          <c:order val="57"/>
          <c:tx>
            <c:strRef>
              <c:f>'Rice (All)'!$BR$6</c:f>
              <c:strCache>
                <c:ptCount val="1"/>
                <c:pt idx="0">
                  <c:v>Kerman, Bazaar (Local), in pound/ton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(All)'!$BR$7:$BR$107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15"/>
          <c:order val="58"/>
          <c:tx>
            <c:strRef>
              <c:f>'Rice (All)'!$BS$6</c:f>
              <c:strCache>
                <c:ptCount val="1"/>
                <c:pt idx="0">
                  <c:v>Bam,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(All)'!$BS$7:$BS$107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17"/>
          <c:order val="59"/>
          <c:tx>
            <c:strRef>
              <c:f>'Rice (All)'!$BT$6</c:f>
              <c:strCache>
                <c:ptCount val="1"/>
                <c:pt idx="0">
                  <c:v>Bam,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(All)'!$BT$7:$BT$107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19"/>
          <c:order val="60"/>
          <c:tx>
            <c:strRef>
              <c:f>'Rice (All)'!$BU$6</c:f>
              <c:strCache>
                <c:ptCount val="1"/>
                <c:pt idx="0">
                  <c:v>Bam,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(All)'!$BU$7:$BU$107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21"/>
          <c:order val="61"/>
          <c:tx>
            <c:strRef>
              <c:f>'Rice (All)'!$BV$6</c:f>
              <c:strCache>
                <c:ptCount val="1"/>
                <c:pt idx="0">
                  <c:v>Resht,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(All)'!$BV$7:$BV$107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23"/>
          <c:order val="62"/>
          <c:tx>
            <c:strRef>
              <c:f>'Rice (All)'!$BW$6</c:f>
              <c:strCache>
                <c:ptCount val="1"/>
                <c:pt idx="0">
                  <c:v>Resht,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(All)'!$BW$7:$BW$107</c:f>
              <c:numCache>
                <c:formatCode>0.0000</c:formatCode>
                <c:ptCount val="101"/>
                <c:pt idx="33">
                  <c:v>7.1111111111111001</c:v>
                </c:pt>
                <c:pt idx="34">
                  <c:v>4.6851034162212448</c:v>
                </c:pt>
                <c:pt idx="35">
                  <c:v>4.495582608695651</c:v>
                </c:pt>
                <c:pt idx="50">
                  <c:v>5.6293028268060414</c:v>
                </c:pt>
                <c:pt idx="53">
                  <c:v>5.0109858147600166</c:v>
                </c:pt>
                <c:pt idx="54">
                  <c:v>3.995231956859763</c:v>
                </c:pt>
                <c:pt idx="55">
                  <c:v>4.1442043923851202</c:v>
                </c:pt>
                <c:pt idx="62">
                  <c:v>7.2629548071950909</c:v>
                </c:pt>
              </c:numCache>
            </c:numRef>
          </c:val>
          <c:smooth val="0"/>
        </c:ser>
        <c:ser>
          <c:idx val="125"/>
          <c:order val="63"/>
          <c:tx>
            <c:strRef>
              <c:f>'Rice (All)'!$BX$6</c:f>
              <c:strCache>
                <c:ptCount val="1"/>
                <c:pt idx="0">
                  <c:v>Resht,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(All)'!$BX$7:$BX$107</c:f>
              <c:numCache>
                <c:formatCode>0.0000</c:formatCode>
                <c:ptCount val="101"/>
                <c:pt idx="34">
                  <c:v>7.027450980392147</c:v>
                </c:pt>
                <c:pt idx="50">
                  <c:v>7.4666666666666597</c:v>
                </c:pt>
                <c:pt idx="51">
                  <c:v>8.4</c:v>
                </c:pt>
                <c:pt idx="52">
                  <c:v>10.422222222222228</c:v>
                </c:pt>
                <c:pt idx="53">
                  <c:v>9.333333333333341</c:v>
                </c:pt>
                <c:pt idx="57">
                  <c:v>10.55892255892255</c:v>
                </c:pt>
              </c:numCache>
            </c:numRef>
          </c:val>
          <c:smooth val="0"/>
        </c:ser>
        <c:ser>
          <c:idx val="127"/>
          <c:order val="64"/>
          <c:tx>
            <c:strRef>
              <c:f>'Rice (All)'!$BY$6</c:f>
              <c:strCache>
                <c:ptCount val="1"/>
                <c:pt idx="0">
                  <c:v>Mazandaran,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(All)'!$BY$7:$BY$107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29"/>
          <c:order val="65"/>
          <c:tx>
            <c:strRef>
              <c:f>'Rice (All)'!$BZ$6</c:f>
              <c:strCache>
                <c:ptCount val="1"/>
                <c:pt idx="0">
                  <c:v>Mazandaran,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(All)'!$BZ$7:$BZ$107</c:f>
              <c:numCache>
                <c:formatCode>0.0000</c:formatCode>
                <c:ptCount val="101"/>
                <c:pt idx="66">
                  <c:v>7.4735427324783013</c:v>
                </c:pt>
                <c:pt idx="67">
                  <c:v>7.2000658786375205</c:v>
                </c:pt>
                <c:pt idx="68">
                  <c:v>7.1370870242408797</c:v>
                </c:pt>
                <c:pt idx="69">
                  <c:v>6.6737362197146597</c:v>
                </c:pt>
                <c:pt idx="70">
                  <c:v>7.5241553255998301</c:v>
                </c:pt>
              </c:numCache>
            </c:numRef>
          </c:val>
          <c:smooth val="0"/>
        </c:ser>
        <c:ser>
          <c:idx val="131"/>
          <c:order val="66"/>
          <c:tx>
            <c:strRef>
              <c:f>'Rice (All)'!$CA$6</c:f>
              <c:strCache>
                <c:ptCount val="1"/>
                <c:pt idx="0">
                  <c:v>Mazandaran,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(All)'!$CA$7:$CA$107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33"/>
          <c:order val="67"/>
          <c:tx>
            <c:strRef>
              <c:f>'Rice (All)'!$CB$6</c:f>
              <c:strCache>
                <c:ptCount val="1"/>
                <c:pt idx="0">
                  <c:v>Ghilan &amp; Tunekabun,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(All)'!$CB$7:$CB$107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35"/>
          <c:order val="68"/>
          <c:tx>
            <c:strRef>
              <c:f>'Rice (All)'!$CC$6</c:f>
              <c:strCache>
                <c:ptCount val="1"/>
                <c:pt idx="0">
                  <c:v>Ghilan &amp; Tunekabun,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(All)'!$CC$7:$CC$107</c:f>
              <c:numCache>
                <c:formatCode>0.0000</c:formatCode>
                <c:ptCount val="101"/>
                <c:pt idx="24">
                  <c:v>11.48</c:v>
                </c:pt>
                <c:pt idx="30">
                  <c:v>20.130718954248358</c:v>
                </c:pt>
                <c:pt idx="31">
                  <c:v>7.3202614379084956</c:v>
                </c:pt>
                <c:pt idx="35">
                  <c:v>4.8333333333333446</c:v>
                </c:pt>
                <c:pt idx="36">
                  <c:v>5.0000000000000062</c:v>
                </c:pt>
                <c:pt idx="66">
                  <c:v>9.7677565992478073</c:v>
                </c:pt>
                <c:pt idx="67">
                  <c:v>10.055436318346946</c:v>
                </c:pt>
                <c:pt idx="68">
                  <c:v>9.8067878788984597</c:v>
                </c:pt>
                <c:pt idx="69">
                  <c:v>8.4995967867301569</c:v>
                </c:pt>
                <c:pt idx="70">
                  <c:v>8.4748087568484927</c:v>
                </c:pt>
              </c:numCache>
            </c:numRef>
          </c:val>
          <c:smooth val="0"/>
        </c:ser>
        <c:ser>
          <c:idx val="137"/>
          <c:order val="69"/>
          <c:tx>
            <c:strRef>
              <c:f>'Rice (All)'!$CD$6</c:f>
              <c:strCache>
                <c:ptCount val="1"/>
                <c:pt idx="0">
                  <c:v>Ghilan &amp; Tunekabun,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(All)'!$CD$7:$CD$107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39"/>
          <c:order val="70"/>
          <c:tx>
            <c:strRef>
              <c:f>'Rice (All)'!$CE$6</c:f>
              <c:strCache>
                <c:ptCount val="1"/>
                <c:pt idx="0">
                  <c:v>Bender Gez &amp; Astarabad,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(All)'!$CE$7:$CE$107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41"/>
          <c:order val="71"/>
          <c:tx>
            <c:strRef>
              <c:f>'Rice (All)'!$CF$6</c:f>
              <c:strCache>
                <c:ptCount val="1"/>
                <c:pt idx="0">
                  <c:v>Bender Gez &amp; Astarabad,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(All)'!$CF$7:$CF$107</c:f>
              <c:numCache>
                <c:formatCode>0.0000</c:formatCode>
                <c:ptCount val="101"/>
                <c:pt idx="41">
                  <c:v>9.570256410256416</c:v>
                </c:pt>
                <c:pt idx="42">
                  <c:v>9.8311111111111131</c:v>
                </c:pt>
                <c:pt idx="66">
                  <c:v>10.528768935218711</c:v>
                </c:pt>
                <c:pt idx="67">
                  <c:v>10.711933113757276</c:v>
                </c:pt>
                <c:pt idx="68">
                  <c:v>9.5763791632882906</c:v>
                </c:pt>
                <c:pt idx="69">
                  <c:v>10.406079008616031</c:v>
                </c:pt>
                <c:pt idx="70">
                  <c:v>10.983446932814024</c:v>
                </c:pt>
              </c:numCache>
            </c:numRef>
          </c:val>
          <c:smooth val="0"/>
        </c:ser>
        <c:ser>
          <c:idx val="143"/>
          <c:order val="72"/>
          <c:tx>
            <c:strRef>
              <c:f>'Rice (All)'!$CG$6</c:f>
              <c:strCache>
                <c:ptCount val="1"/>
                <c:pt idx="0">
                  <c:v>Bender Gez &amp; Astarabad,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(All)'!$CG$7:$CG$107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45"/>
          <c:order val="73"/>
          <c:tx>
            <c:strRef>
              <c:f>'Rice (All)'!$CH$6</c:f>
              <c:strCache>
                <c:ptCount val="1"/>
                <c:pt idx="0">
                  <c:v>Astara,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(All)'!$CH$7:$CH$107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47"/>
          <c:order val="74"/>
          <c:tx>
            <c:strRef>
              <c:f>'Rice (All)'!$CI$6</c:f>
              <c:strCache>
                <c:ptCount val="1"/>
                <c:pt idx="0">
                  <c:v>Astara,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(All)'!$CI$7:$CI$107</c:f>
              <c:numCache>
                <c:formatCode>0.0000</c:formatCode>
                <c:ptCount val="101"/>
                <c:pt idx="68">
                  <c:v>10.672860659700602</c:v>
                </c:pt>
                <c:pt idx="69">
                  <c:v>10.735063159868993</c:v>
                </c:pt>
                <c:pt idx="70">
                  <c:v>9.0894416457605818</c:v>
                </c:pt>
              </c:numCache>
            </c:numRef>
          </c:val>
          <c:smooth val="0"/>
        </c:ser>
        <c:ser>
          <c:idx val="149"/>
          <c:order val="75"/>
          <c:tx>
            <c:strRef>
              <c:f>'Rice (All)'!$CJ$6</c:f>
              <c:strCache>
                <c:ptCount val="1"/>
                <c:pt idx="0">
                  <c:v>Astara,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(All)'!$CJ$7:$CJ$107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51"/>
          <c:order val="76"/>
          <c:tx>
            <c:strRef>
              <c:f>'Rice (All)'!$CK$6</c:f>
              <c:strCache>
                <c:ptCount val="1"/>
                <c:pt idx="0">
                  <c:v>Sultanabad, Imports,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(All)'!$CK$7:$CK$107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53"/>
          <c:order val="77"/>
          <c:tx>
            <c:strRef>
              <c:f>'Rice (All)'!$CL$6</c:f>
              <c:strCache>
                <c:ptCount val="1"/>
                <c:pt idx="0">
                  <c:v>Sultanabad, Exports, in pound/ton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(All)'!$CL$7:$CL$107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55"/>
          <c:order val="78"/>
          <c:tx>
            <c:strRef>
              <c:f>'Rice (All)'!$CM$6</c:f>
              <c:strCache>
                <c:ptCount val="1"/>
                <c:pt idx="0">
                  <c:v>Sultanabad, Bazaar (Local), in pound/ton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(All)'!$CM$7:$CM$107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56"/>
          <c:order val="79"/>
          <c:tx>
            <c:strRef>
              <c:f>'Rice (All)'!$CN$6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(All)'!$CN$7:$CN$107</c:f>
              <c:numCache>
                <c:formatCode>0.0000</c:formatCode>
                <c:ptCount val="101"/>
                <c:pt idx="56">
                  <c:v>8.8595102040816336</c:v>
                </c:pt>
                <c:pt idx="57">
                  <c:v>11.623164179104478</c:v>
                </c:pt>
                <c:pt idx="58">
                  <c:v>8.7482947368421051</c:v>
                </c:pt>
                <c:pt idx="61">
                  <c:v>7.9998278632086297</c:v>
                </c:pt>
                <c:pt idx="62">
                  <c:v>7.9997294966947869</c:v>
                </c:pt>
                <c:pt idx="63">
                  <c:v>8.8888675408681177</c:v>
                </c:pt>
                <c:pt idx="64">
                  <c:v>8.3333385650294609</c:v>
                </c:pt>
                <c:pt idx="65">
                  <c:v>9.7778315767658057</c:v>
                </c:pt>
                <c:pt idx="66">
                  <c:v>12.333338542724823</c:v>
                </c:pt>
                <c:pt idx="67">
                  <c:v>14.673561100351616</c:v>
                </c:pt>
                <c:pt idx="68">
                  <c:v>20.168544925852192</c:v>
                </c:pt>
                <c:pt idx="69">
                  <c:v>11.666666666666668</c:v>
                </c:pt>
                <c:pt idx="70">
                  <c:v>9.1110879673179781</c:v>
                </c:pt>
                <c:pt idx="71">
                  <c:v>9.7902429389689907</c:v>
                </c:pt>
                <c:pt idx="72">
                  <c:v>10.141817551762973</c:v>
                </c:pt>
                <c:pt idx="73">
                  <c:v>10.467568138601312</c:v>
                </c:pt>
              </c:numCache>
            </c:numRef>
          </c:val>
          <c:smooth val="0"/>
        </c:ser>
        <c:ser>
          <c:idx val="157"/>
          <c:order val="80"/>
          <c:tx>
            <c:strRef>
              <c:f>'Rice (All)'!$CO$6</c:f>
              <c:strCache>
                <c:ptCount val="1"/>
                <c:pt idx="0">
                  <c:v>Bahrain, Exports, in pound/ton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(All)'!$CO$7:$CO$107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58"/>
          <c:order val="81"/>
          <c:tx>
            <c:strRef>
              <c:f>'Rice (All)'!$CP$6</c:f>
              <c:strCache>
                <c:ptCount val="1"/>
                <c:pt idx="0">
                  <c:v>Bahrain,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(All)'!$CP$7:$CP$107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60"/>
          <c:order val="82"/>
          <c:tx>
            <c:strRef>
              <c:f>'Rice (All)'!$CQ$6</c:f>
              <c:strCache>
                <c:ptCount val="1"/>
                <c:pt idx="0">
                  <c:v>Muscat, Imports,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(All)'!$CQ$7:$CQ$107</c:f>
              <c:numCache>
                <c:formatCode>0.0000</c:formatCode>
                <c:ptCount val="101"/>
                <c:pt idx="34">
                  <c:v>11.65457332773846</c:v>
                </c:pt>
                <c:pt idx="35">
                  <c:v>9.8745878269952208</c:v>
                </c:pt>
                <c:pt idx="36">
                  <c:v>9.5305833164354006</c:v>
                </c:pt>
                <c:pt idx="37">
                  <c:v>11.141127683149382</c:v>
                </c:pt>
                <c:pt idx="38">
                  <c:v>11.62507962196112</c:v>
                </c:pt>
                <c:pt idx="39">
                  <c:v>10.39765027258078</c:v>
                </c:pt>
                <c:pt idx="40">
                  <c:v>8.2612386382281606</c:v>
                </c:pt>
                <c:pt idx="41">
                  <c:v>6.2103417605768394</c:v>
                </c:pt>
                <c:pt idx="42">
                  <c:v>7.1733731965018199</c:v>
                </c:pt>
                <c:pt idx="43">
                  <c:v>13.98493005447834</c:v>
                </c:pt>
                <c:pt idx="44">
                  <c:v>10.877768382583799</c:v>
                </c:pt>
                <c:pt idx="45">
                  <c:v>8.8044672720807799</c:v>
                </c:pt>
                <c:pt idx="46">
                  <c:v>7.6091931870859399</c:v>
                </c:pt>
                <c:pt idx="47">
                  <c:v>7.1303755519334402</c:v>
                </c:pt>
                <c:pt idx="48">
                  <c:v>6.9147762543710201</c:v>
                </c:pt>
                <c:pt idx="49">
                  <c:v>8.4689653801194194</c:v>
                </c:pt>
                <c:pt idx="50">
                  <c:v>9.2909464766590393</c:v>
                </c:pt>
                <c:pt idx="51">
                  <c:v>8.732066971983599</c:v>
                </c:pt>
                <c:pt idx="52">
                  <c:v>8.5830431744376607</c:v>
                </c:pt>
                <c:pt idx="53">
                  <c:v>7.7737239113500802</c:v>
                </c:pt>
                <c:pt idx="54">
                  <c:v>6.0999359975096601</c:v>
                </c:pt>
                <c:pt idx="55">
                  <c:v>6.2843833062896408</c:v>
                </c:pt>
                <c:pt idx="56">
                  <c:v>6.4896824690758006</c:v>
                </c:pt>
                <c:pt idx="57">
                  <c:v>8.4883682462058587</c:v>
                </c:pt>
                <c:pt idx="58">
                  <c:v>8.2129293582167389</c:v>
                </c:pt>
                <c:pt idx="59">
                  <c:v>8.3653735226384001</c:v>
                </c:pt>
                <c:pt idx="60">
                  <c:v>7.6468003735446999</c:v>
                </c:pt>
                <c:pt idx="61">
                  <c:v>8.6502093592495992</c:v>
                </c:pt>
                <c:pt idx="62">
                  <c:v>8.4346865857014599</c:v>
                </c:pt>
                <c:pt idx="63">
                  <c:v>9.3905605283740403</c:v>
                </c:pt>
                <c:pt idx="64">
                  <c:v>7.1564066075722002</c:v>
                </c:pt>
                <c:pt idx="65">
                  <c:v>7</c:v>
                </c:pt>
                <c:pt idx="66">
                  <c:v>8</c:v>
                </c:pt>
                <c:pt idx="67">
                  <c:v>9.166666666666659</c:v>
                </c:pt>
                <c:pt idx="68">
                  <c:v>9</c:v>
                </c:pt>
                <c:pt idx="69">
                  <c:v>9.1</c:v>
                </c:pt>
                <c:pt idx="70">
                  <c:v>10.122095671981779</c:v>
                </c:pt>
                <c:pt idx="71">
                  <c:v>11.107645722937161</c:v>
                </c:pt>
              </c:numCache>
            </c:numRef>
          </c:val>
          <c:smooth val="0"/>
        </c:ser>
        <c:ser>
          <c:idx val="162"/>
          <c:order val="83"/>
          <c:tx>
            <c:strRef>
              <c:f>'Rice (All)'!$CR$6</c:f>
              <c:strCache>
                <c:ptCount val="1"/>
                <c:pt idx="0">
                  <c:v>Muscat, Exports, in pound/ton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(All)'!$CR$7:$CR$107</c:f>
              <c:numCache>
                <c:formatCode>0.0000</c:formatCode>
                <c:ptCount val="101"/>
                <c:pt idx="39">
                  <c:v>6.8123248612692198</c:v>
                </c:pt>
                <c:pt idx="40">
                  <c:v>8.2602152795882606</c:v>
                </c:pt>
                <c:pt idx="41">
                  <c:v>7.0039624431505398</c:v>
                </c:pt>
                <c:pt idx="42">
                  <c:v>6.2182162870265802</c:v>
                </c:pt>
                <c:pt idx="43">
                  <c:v>7.7609016139056397</c:v>
                </c:pt>
                <c:pt idx="44">
                  <c:v>8.2319848787694401</c:v>
                </c:pt>
                <c:pt idx="45">
                  <c:v>8.77400857449088</c:v>
                </c:pt>
                <c:pt idx="46">
                  <c:v>7.6857266229251797</c:v>
                </c:pt>
                <c:pt idx="47">
                  <c:v>7.5692762195475201</c:v>
                </c:pt>
                <c:pt idx="48">
                  <c:v>6.9717797862170805</c:v>
                </c:pt>
                <c:pt idx="49">
                  <c:v>7.7125455037030601</c:v>
                </c:pt>
                <c:pt idx="50">
                  <c:v>8.3875657543932007</c:v>
                </c:pt>
                <c:pt idx="51">
                  <c:v>9.1593535456678605</c:v>
                </c:pt>
                <c:pt idx="52">
                  <c:v>8.97726746038642</c:v>
                </c:pt>
                <c:pt idx="53">
                  <c:v>8.1077711151666207</c:v>
                </c:pt>
                <c:pt idx="54">
                  <c:v>7.3195783243050201</c:v>
                </c:pt>
                <c:pt idx="70">
                  <c:v>9</c:v>
                </c:pt>
              </c:numCache>
            </c:numRef>
          </c:val>
          <c:smooth val="0"/>
        </c:ser>
        <c:ser>
          <c:idx val="164"/>
          <c:order val="84"/>
          <c:tx>
            <c:strRef>
              <c:f>'Rice (All)'!$CS$6</c:f>
              <c:strCache>
                <c:ptCount val="1"/>
                <c:pt idx="0">
                  <c:v>Muscat, Bazaar (Local), in pound/ton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(All)'!$CS$7:$CS$107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66"/>
          <c:order val="85"/>
          <c:tx>
            <c:strRef>
              <c:f>'Rice (All)'!$CT$6</c:f>
              <c:strCache>
                <c:ptCount val="1"/>
                <c:pt idx="0">
                  <c:v>Mohammerah, Imports, in pound/ton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(All)'!$CT$7:$CT$107</c:f>
              <c:numCache>
                <c:formatCode>0.0000</c:formatCode>
                <c:ptCount val="101"/>
                <c:pt idx="50">
                  <c:v>5.9760683760683797</c:v>
                </c:pt>
                <c:pt idx="51">
                  <c:v>6.8736280965819994</c:v>
                </c:pt>
                <c:pt idx="52">
                  <c:v>10</c:v>
                </c:pt>
                <c:pt idx="53">
                  <c:v>6.6666666666666599</c:v>
                </c:pt>
                <c:pt idx="54">
                  <c:v>5.3303637713437197</c:v>
                </c:pt>
                <c:pt idx="55">
                  <c:v>5.0466321243523407</c:v>
                </c:pt>
                <c:pt idx="56">
                  <c:v>12.54861183321202</c:v>
                </c:pt>
                <c:pt idx="57">
                  <c:v>10.063752276867039</c:v>
                </c:pt>
                <c:pt idx="58">
                  <c:v>7.3509490137699993</c:v>
                </c:pt>
                <c:pt idx="59">
                  <c:v>7.7395136282030395</c:v>
                </c:pt>
                <c:pt idx="60">
                  <c:v>5.2297734627831804</c:v>
                </c:pt>
                <c:pt idx="61">
                  <c:v>6.94603903559128</c:v>
                </c:pt>
                <c:pt idx="62">
                  <c:v>7.6464323748668805</c:v>
                </c:pt>
                <c:pt idx="66">
                  <c:v>11.14818449460256</c:v>
                </c:pt>
                <c:pt idx="67">
                  <c:v>13.54736172917992</c:v>
                </c:pt>
                <c:pt idx="68">
                  <c:v>10.058018101647722</c:v>
                </c:pt>
                <c:pt idx="69">
                  <c:v>11.87147082549072</c:v>
                </c:pt>
                <c:pt idx="70">
                  <c:v>10.95896328293736</c:v>
                </c:pt>
                <c:pt idx="71">
                  <c:v>7.1235955056179803</c:v>
                </c:pt>
                <c:pt idx="72">
                  <c:v>11.915760869565219</c:v>
                </c:pt>
              </c:numCache>
            </c:numRef>
          </c:val>
          <c:smooth val="0"/>
        </c:ser>
        <c:ser>
          <c:idx val="168"/>
          <c:order val="86"/>
          <c:tx>
            <c:strRef>
              <c:f>'Rice (All)'!$CU$6</c:f>
              <c:strCache>
                <c:ptCount val="1"/>
                <c:pt idx="0">
                  <c:v>Mohammerah,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(All)'!$CU$7:$CU$107</c:f>
              <c:numCache>
                <c:formatCode>0.0000</c:formatCode>
                <c:ptCount val="101"/>
                <c:pt idx="51">
                  <c:v>6.6225165562913997</c:v>
                </c:pt>
                <c:pt idx="52">
                  <c:v>6.6666666666666599</c:v>
                </c:pt>
              </c:numCache>
            </c:numRef>
          </c:val>
          <c:smooth val="0"/>
        </c:ser>
        <c:ser>
          <c:idx val="170"/>
          <c:order val="87"/>
          <c:tx>
            <c:strRef>
              <c:f>'Rice (All)'!$CV$6</c:f>
              <c:strCache>
                <c:ptCount val="1"/>
                <c:pt idx="0">
                  <c:v>Mohammerah,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(All)'!$CV$7:$CV$107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72"/>
          <c:order val="88"/>
          <c:tx>
            <c:strRef>
              <c:f>'Rice (All)'!$CW$6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(All)'!$CW$7:$CW$107</c:f>
              <c:numCache>
                <c:formatCode>0.0000</c:formatCode>
                <c:ptCount val="101"/>
                <c:pt idx="56">
                  <c:v>7.8431666666666597</c:v>
                </c:pt>
                <c:pt idx="57">
                  <c:v>10.833333333333339</c:v>
                </c:pt>
                <c:pt idx="58">
                  <c:v>7.5</c:v>
                </c:pt>
                <c:pt idx="59">
                  <c:v>8</c:v>
                </c:pt>
                <c:pt idx="66">
                  <c:v>9.7680551798755797</c:v>
                </c:pt>
                <c:pt idx="67">
                  <c:v>11.62276004854716</c:v>
                </c:pt>
                <c:pt idx="68">
                  <c:v>11.74997207293308</c:v>
                </c:pt>
                <c:pt idx="69">
                  <c:v>6.6531827166948796</c:v>
                </c:pt>
                <c:pt idx="70">
                  <c:v>10.772308825334481</c:v>
                </c:pt>
                <c:pt idx="71">
                  <c:v>10.5149856175188</c:v>
                </c:pt>
                <c:pt idx="72">
                  <c:v>12.9020545111918</c:v>
                </c:pt>
              </c:numCache>
            </c:numRef>
          </c:val>
          <c:smooth val="0"/>
        </c:ser>
        <c:ser>
          <c:idx val="174"/>
          <c:order val="89"/>
          <c:tx>
            <c:strRef>
              <c:f>'Rice (All)'!$CX$6</c:f>
              <c:strCache>
                <c:ptCount val="1"/>
                <c:pt idx="0">
                  <c:v>Lingah,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(All)'!$CX$7:$CX$107</c:f>
              <c:numCache>
                <c:formatCode>0.0000</c:formatCode>
                <c:ptCount val="101"/>
                <c:pt idx="56">
                  <c:v>6.9884757039325196</c:v>
                </c:pt>
                <c:pt idx="57">
                  <c:v>10.83346405228758</c:v>
                </c:pt>
                <c:pt idx="58">
                  <c:v>7.5</c:v>
                </c:pt>
                <c:pt idx="59">
                  <c:v>8</c:v>
                </c:pt>
                <c:pt idx="69">
                  <c:v>12.877307274701419</c:v>
                </c:pt>
                <c:pt idx="70">
                  <c:v>8.9367253750815401</c:v>
                </c:pt>
                <c:pt idx="71">
                  <c:v>11.6858761476851</c:v>
                </c:pt>
                <c:pt idx="72">
                  <c:v>10.470490440565261</c:v>
                </c:pt>
              </c:numCache>
            </c:numRef>
          </c:val>
          <c:smooth val="0"/>
        </c:ser>
        <c:ser>
          <c:idx val="176"/>
          <c:order val="90"/>
          <c:tx>
            <c:strRef>
              <c:f>'Rice (All)'!$CY$6</c:f>
              <c:strCache>
                <c:ptCount val="1"/>
                <c:pt idx="0">
                  <c:v>Lingah,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(All)'!$CY$7:$CY$107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78"/>
          <c:order val="91"/>
          <c:tx>
            <c:strRef>
              <c:f>'Rice (All)'!$CZ$6</c:f>
              <c:strCache>
                <c:ptCount val="1"/>
                <c:pt idx="0">
                  <c:v>Shiraz, Imports, in pound/ton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(All)'!$CZ$7:$CZ$107</c:f>
              <c:numCache>
                <c:formatCode>General</c:formatCode>
                <c:ptCount val="101"/>
              </c:numCache>
            </c:numRef>
          </c:val>
          <c:smooth val="0"/>
        </c:ser>
        <c:ser>
          <c:idx val="180"/>
          <c:order val="92"/>
          <c:tx>
            <c:strRef>
              <c:f>'Rice (All)'!$DA$6</c:f>
              <c:strCache>
                <c:ptCount val="1"/>
                <c:pt idx="0">
                  <c:v>Shiraz,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(All)'!$DA$7:$DA$107</c:f>
              <c:numCache>
                <c:formatCode>General</c:formatCode>
                <c:ptCount val="101"/>
              </c:numCache>
            </c:numRef>
          </c:val>
          <c:smooth val="0"/>
        </c:ser>
        <c:ser>
          <c:idx val="182"/>
          <c:order val="93"/>
          <c:tx>
            <c:strRef>
              <c:f>'Rice (All)'!$DB$6</c:f>
              <c:strCache>
                <c:ptCount val="1"/>
                <c:pt idx="0">
                  <c:v>Shiraz, Bazaar (Local), in pound/ton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(All)'!$DB$7:$DB$107</c:f>
              <c:numCache>
                <c:formatCode>General</c:formatCode>
                <c:ptCount val="101"/>
              </c:numCache>
            </c:numRef>
          </c:val>
          <c:smooth val="0"/>
        </c:ser>
        <c:ser>
          <c:idx val="0"/>
          <c:order val="94"/>
          <c:tx>
            <c:strRef>
              <c:f>'Rice (All)'!$DC$6</c:f>
              <c:strCache>
                <c:ptCount val="1"/>
                <c:pt idx="0">
                  <c:v>India, Imports, in pound/ton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(All)'!$DC$7:$DC$107</c:f>
              <c:numCache>
                <c:formatCode>General</c:formatCode>
                <c:ptCount val="101"/>
              </c:numCache>
            </c:numRef>
          </c:val>
          <c:smooth val="0"/>
        </c:ser>
        <c:ser>
          <c:idx val="3"/>
          <c:order val="95"/>
          <c:tx>
            <c:strRef>
              <c:f>'Rice (All)'!$DD$6</c:f>
              <c:strCache>
                <c:ptCount val="1"/>
                <c:pt idx="0">
                  <c:v>India, Exports, in pound/ton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(All)'!$DD$7:$DD$107</c:f>
              <c:numCache>
                <c:formatCode>General</c:formatCode>
                <c:ptCount val="101"/>
                <c:pt idx="3" formatCode="0.0000">
                  <c:v>3.7608616799828365</c:v>
                </c:pt>
                <c:pt idx="4" formatCode="0.0000">
                  <c:v>3.7015410456678532</c:v>
                </c:pt>
                <c:pt idx="5" formatCode="0.0000">
                  <c:v>4.2181898789867027</c:v>
                </c:pt>
                <c:pt idx="6" formatCode="0.0000">
                  <c:v>4.7159384471137127</c:v>
                </c:pt>
                <c:pt idx="7" formatCode="0.0000">
                  <c:v>4.1301965651342654</c:v>
                </c:pt>
                <c:pt idx="8" formatCode="0.0000">
                  <c:v>3.0483279199617619</c:v>
                </c:pt>
                <c:pt idx="9" formatCode="0.0000">
                  <c:v>3.0611360204658022</c:v>
                </c:pt>
                <c:pt idx="10" formatCode="0.0000">
                  <c:v>3.0371832091335698</c:v>
                </c:pt>
                <c:pt idx="11" formatCode="0.0000">
                  <c:v>3.6730970822108273</c:v>
                </c:pt>
                <c:pt idx="12" formatCode="0.0000">
                  <c:v>4.1059110758668629</c:v>
                </c:pt>
                <c:pt idx="13" formatCode="0.0000">
                  <c:v>3.9078013654731896</c:v>
                </c:pt>
                <c:pt idx="14" formatCode="0.0000">
                  <c:v>4.2556161466933169</c:v>
                </c:pt>
                <c:pt idx="15" formatCode="0.0000">
                  <c:v>4.3650256026223158</c:v>
                </c:pt>
                <c:pt idx="16" formatCode="0.0000">
                  <c:v>4.528204129823151</c:v>
                </c:pt>
                <c:pt idx="17" formatCode="0.0000">
                  <c:v>5.0124584492048294</c:v>
                </c:pt>
                <c:pt idx="18" formatCode="0.0000">
                  <c:v>5.7520430838294079</c:v>
                </c:pt>
                <c:pt idx="19" formatCode="0.0000">
                  <c:v>6.8547456846919248</c:v>
                </c:pt>
                <c:pt idx="20" formatCode="0.0000">
                  <c:v>6.9501410826018928</c:v>
                </c:pt>
                <c:pt idx="21" formatCode="0.0000">
                  <c:v>4.6756035577378006</c:v>
                </c:pt>
                <c:pt idx="22" formatCode="0.0000">
                  <c:v>4.5783137438081161</c:v>
                </c:pt>
                <c:pt idx="23" formatCode="0.0000">
                  <c:v>4.2275207029778965</c:v>
                </c:pt>
                <c:pt idx="24" formatCode="0.0000">
                  <c:v>5.6285918467201101</c:v>
                </c:pt>
                <c:pt idx="25" formatCode="0.0000">
                  <c:v>7.0986656088111815</c:v>
                </c:pt>
                <c:pt idx="26" formatCode="0.0000">
                  <c:v>9.9234501281828429</c:v>
                </c:pt>
                <c:pt idx="27" formatCode="0.0000">
                  <c:v>7.2935062964391228</c:v>
                </c:pt>
                <c:pt idx="28" formatCode="0.0000">
                  <c:v>5.4383168846489269</c:v>
                </c:pt>
                <c:pt idx="29" formatCode="0.0000">
                  <c:v>6.5213029342519926</c:v>
                </c:pt>
                <c:pt idx="30" formatCode="0.0000">
                  <c:v>5.5507379302845772</c:v>
                </c:pt>
                <c:pt idx="31" formatCode="0.0000">
                  <c:v>5.3819434089213258</c:v>
                </c:pt>
                <c:pt idx="32" formatCode="0.0000">
                  <c:v>5.0880807822578626</c:v>
                </c:pt>
                <c:pt idx="33" formatCode="0.0000">
                  <c:v>5.6077829130209293</c:v>
                </c:pt>
                <c:pt idx="34" formatCode="0.0000">
                  <c:v>7.8469039034782231</c:v>
                </c:pt>
                <c:pt idx="35" formatCode="0.0000">
                  <c:v>7.0850618448165283</c:v>
                </c:pt>
                <c:pt idx="36" formatCode="0.0000">
                  <c:v>5.5684579089648025</c:v>
                </c:pt>
                <c:pt idx="37" formatCode="0.0000">
                  <c:v>7.7354174840054615</c:v>
                </c:pt>
                <c:pt idx="38" formatCode="0.0000">
                  <c:v>8.3007011599028537</c:v>
                </c:pt>
                <c:pt idx="39" formatCode="0.0000">
                  <c:v>8.910271947292058</c:v>
                </c:pt>
                <c:pt idx="40" formatCode="0.0000">
                  <c:v>6.9526158608533928</c:v>
                </c:pt>
                <c:pt idx="41" formatCode="0.0000">
                  <c:v>5.2731142309322339</c:v>
                </c:pt>
                <c:pt idx="42" formatCode="0.0000">
                  <c:v>4.8733929656772768</c:v>
                </c:pt>
                <c:pt idx="43" formatCode="0.0000">
                  <c:v>5.5244581053823731</c:v>
                </c:pt>
                <c:pt idx="44" formatCode="0.0000">
                  <c:v>6.9520878971754509</c:v>
                </c:pt>
                <c:pt idx="45" formatCode="0.0000">
                  <c:v>6.3596543915900314</c:v>
                </c:pt>
                <c:pt idx="46" formatCode="0.0000">
                  <c:v>6.0730372779778667</c:v>
                </c:pt>
                <c:pt idx="47" formatCode="0.0000">
                  <c:v>4.9248577826869866</c:v>
                </c:pt>
                <c:pt idx="48" formatCode="0.0000">
                  <c:v>5.0419363802408634</c:v>
                </c:pt>
                <c:pt idx="49" formatCode="0.0000">
                  <c:v>6.1710450252651574</c:v>
                </c:pt>
                <c:pt idx="50" formatCode="0.0000">
                  <c:v>6.9650139209139095</c:v>
                </c:pt>
                <c:pt idx="51" formatCode="0.0000">
                  <c:v>6.4266138337112517</c:v>
                </c:pt>
                <c:pt idx="52" formatCode="0.0000">
                  <c:v>6.6454312087835019</c:v>
                </c:pt>
                <c:pt idx="53" formatCode="0.0000">
                  <c:v>6.5841767413581254</c:v>
                </c:pt>
                <c:pt idx="54" formatCode="0.0000">
                  <c:v>5.3231143495794386</c:v>
                </c:pt>
                <c:pt idx="55" formatCode="0.0000">
                  <c:v>4.0855123070908261</c:v>
                </c:pt>
                <c:pt idx="56" formatCode="0.0000">
                  <c:v>4.9356283010120263</c:v>
                </c:pt>
                <c:pt idx="57" formatCode="0.0000">
                  <c:v>6.9109219969437339</c:v>
                </c:pt>
                <c:pt idx="58" formatCode="0.0000">
                  <c:v>5.7133133311422934</c:v>
                </c:pt>
                <c:pt idx="59" formatCode="0.0000">
                  <c:v>5.0584176867490225</c:v>
                </c:pt>
                <c:pt idx="60" formatCode="0.0000">
                  <c:v>5.1969100069870748</c:v>
                </c:pt>
                <c:pt idx="61" formatCode="0.0000">
                  <c:v>5.8426308112715182</c:v>
                </c:pt>
                <c:pt idx="62" formatCode="0.0000">
                  <c:v>5.9484006924269099</c:v>
                </c:pt>
                <c:pt idx="63" formatCode="0.0000">
                  <c:v>5.2757019581059224</c:v>
                </c:pt>
                <c:pt idx="64" formatCode="0.0000">
                  <c:v>5.3996925583650039</c:v>
                </c:pt>
                <c:pt idx="65" formatCode="0.0000">
                  <c:v>5.2573996298640449</c:v>
                </c:pt>
                <c:pt idx="66" formatCode="0.0000">
                  <c:v>6.8502218719548713</c:v>
                </c:pt>
                <c:pt idx="67" formatCode="0.0000">
                  <c:v>8.7143085606351267</c:v>
                </c:pt>
                <c:pt idx="68" formatCode="0.0000">
                  <c:v>8.7669677266104014</c:v>
                </c:pt>
                <c:pt idx="69" formatCode="0.0000">
                  <c:v>7.974917970299729</c:v>
                </c:pt>
                <c:pt idx="70" formatCode="0.0000">
                  <c:v>5.0062479620664897</c:v>
                </c:pt>
                <c:pt idx="71" formatCode="0.0000">
                  <c:v>6.0283183692320117</c:v>
                </c:pt>
                <c:pt idx="72" formatCode="0.0000">
                  <c:v>6.9305741659106532</c:v>
                </c:pt>
                <c:pt idx="73" formatCode="0.0000">
                  <c:v>7.5077055769126764</c:v>
                </c:pt>
                <c:pt idx="74" formatCode="0.0000">
                  <c:v>5.1293626234694747</c:v>
                </c:pt>
                <c:pt idx="75" formatCode="0.0000">
                  <c:v>5.3536185854752993</c:v>
                </c:pt>
                <c:pt idx="76" formatCode="0.0000">
                  <c:v>5.4676347320569336</c:v>
                </c:pt>
                <c:pt idx="77" formatCode="0.0000">
                  <c:v>4.9457100320785736</c:v>
                </c:pt>
                <c:pt idx="78" formatCode="0.0000">
                  <c:v>3.8787878787878789</c:v>
                </c:pt>
                <c:pt idx="79" formatCode="0.0000">
                  <c:v>6.2622874701322644</c:v>
                </c:pt>
                <c:pt idx="80" formatCode="0.0000">
                  <c:v>8.8332105831042433</c:v>
                </c:pt>
                <c:pt idx="81" formatCode="0.0000">
                  <c:v>6.9042376893939386</c:v>
                </c:pt>
                <c:pt idx="82" formatCode="0.0000">
                  <c:v>6.4655539772727275</c:v>
                </c:pt>
                <c:pt idx="83" formatCode="0.0000">
                  <c:v>5.5517578125</c:v>
                </c:pt>
                <c:pt idx="84" formatCode="0.0000">
                  <c:v>5.856001420454545</c:v>
                </c:pt>
                <c:pt idx="85" formatCode="0.0000">
                  <c:v>6.9208984375</c:v>
                </c:pt>
                <c:pt idx="86" formatCode="0.0000">
                  <c:v>6.7086292613636367</c:v>
                </c:pt>
                <c:pt idx="87" formatCode="0.0000">
                  <c:v>6.826704545454545</c:v>
                </c:pt>
                <c:pt idx="88" formatCode="0.0000">
                  <c:v>6.5878462357954541</c:v>
                </c:pt>
                <c:pt idx="89" formatCode="0.0000">
                  <c:v>5.8700284090909083</c:v>
                </c:pt>
                <c:pt idx="90" formatCode="0.0000">
                  <c:v>5.1653993983957207</c:v>
                </c:pt>
                <c:pt idx="91" formatCode="0.0000">
                  <c:v>3.5011280080213893</c:v>
                </c:pt>
              </c:numCache>
            </c:numRef>
          </c:val>
          <c:smooth val="0"/>
        </c:ser>
        <c:ser>
          <c:idx val="6"/>
          <c:order val="96"/>
          <c:tx>
            <c:strRef>
              <c:f>'Rice (All)'!$DE$6</c:f>
              <c:strCache>
                <c:ptCount val="1"/>
                <c:pt idx="0">
                  <c:v>India, Wholesale, in pound/ton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cat>
          <c:val>
            <c:numRef>
              <c:f>'Rice (All)'!$DE$7:$DE$107</c:f>
              <c:numCache>
                <c:formatCode>General</c:formatCode>
                <c:ptCount val="101"/>
                <c:pt idx="33" formatCode="0.0000">
                  <c:v>6.2423500575674469</c:v>
                </c:pt>
                <c:pt idx="44" formatCode="0.0000">
                  <c:v>5.7528409090909092</c:v>
                </c:pt>
                <c:pt idx="45" formatCode="0.0000">
                  <c:v>5.1870265151515147</c:v>
                </c:pt>
                <c:pt idx="46" formatCode="0.0000">
                  <c:v>5.1175394144144146</c:v>
                </c:pt>
                <c:pt idx="47" formatCode="0.0000">
                  <c:v>5.1314986861861867</c:v>
                </c:pt>
                <c:pt idx="48" formatCode="0.0000">
                  <c:v>5.3696167758667768</c:v>
                </c:pt>
                <c:pt idx="49" formatCode="0.0000">
                  <c:v>5.9939364079803896</c:v>
                </c:pt>
                <c:pt idx="50" formatCode="0.0000">
                  <c:v>5.9286775411775414</c:v>
                </c:pt>
                <c:pt idx="51" formatCode="0.0000">
                  <c:v>6.9333673159946301</c:v>
                </c:pt>
                <c:pt idx="52" formatCode="0.0000">
                  <c:v>6.8190491627806438</c:v>
                </c:pt>
                <c:pt idx="53" formatCode="0.0000">
                  <c:v>5.1374176596264114</c:v>
                </c:pt>
                <c:pt idx="54" formatCode="0.0000">
                  <c:v>4.4127064564333418</c:v>
                </c:pt>
                <c:pt idx="55" formatCode="0.0000">
                  <c:v>4.3406761253325055</c:v>
                </c:pt>
                <c:pt idx="56" formatCode="0.0000">
                  <c:v>5.172766516513061</c:v>
                </c:pt>
                <c:pt idx="57" formatCode="0.0000">
                  <c:v>5.8983334494751603</c:v>
                </c:pt>
                <c:pt idx="58" formatCode="0.0000">
                  <c:v>5.3438995636252002</c:v>
                </c:pt>
                <c:pt idx="59" formatCode="0.0000">
                  <c:v>5.56998588903443</c:v>
                </c:pt>
                <c:pt idx="60" formatCode="0.0000">
                  <c:v>5.6768502878172669</c:v>
                </c:pt>
                <c:pt idx="61" formatCode="0.0000">
                  <c:v>5.1326686741085048</c:v>
                </c:pt>
                <c:pt idx="62" formatCode="0.0000">
                  <c:v>4.8725678803526025</c:v>
                </c:pt>
                <c:pt idx="63" formatCode="0.0000">
                  <c:v>5.9476038538441527</c:v>
                </c:pt>
                <c:pt idx="64" formatCode="0.0000">
                  <c:v>5.1615829592743552</c:v>
                </c:pt>
                <c:pt idx="65" formatCode="0.0000">
                  <c:v>5.5816676051090255</c:v>
                </c:pt>
                <c:pt idx="66" formatCode="0.0000">
                  <c:v>6.2739586176951585</c:v>
                </c:pt>
                <c:pt idx="67" formatCode="0.0000">
                  <c:v>7.0582989239590042</c:v>
                </c:pt>
                <c:pt idx="68" formatCode="0.0000">
                  <c:v>6.9448209110212495</c:v>
                </c:pt>
                <c:pt idx="69" formatCode="0.0000">
                  <c:v>5.922744172725654</c:v>
                </c:pt>
                <c:pt idx="70" formatCode="0.0000">
                  <c:v>5.6534860716323223</c:v>
                </c:pt>
                <c:pt idx="71" formatCode="0.0000">
                  <c:v>7.1617688166944831</c:v>
                </c:pt>
                <c:pt idx="72" formatCode="0.0000">
                  <c:v>8.3753396253158368</c:v>
                </c:pt>
                <c:pt idx="73" formatCode="0.0000">
                  <c:v>6.7763577880668295</c:v>
                </c:pt>
                <c:pt idx="74" formatCode="0.0000">
                  <c:v>5.7118055555555562</c:v>
                </c:pt>
                <c:pt idx="75" formatCode="0.0000">
                  <c:v>7.588541666666667</c:v>
                </c:pt>
                <c:pt idx="76" formatCode="0.0000">
                  <c:v>8.60647627313889</c:v>
                </c:pt>
                <c:pt idx="77" formatCode="0.0000">
                  <c:v>11.123263888888888</c:v>
                </c:pt>
                <c:pt idx="78" formatCode="0.0000">
                  <c:v>11.592881944444445</c:v>
                </c:pt>
                <c:pt idx="79" formatCode="0.0000">
                  <c:v>14.801118026740433</c:v>
                </c:pt>
                <c:pt idx="80" formatCode="0.0000">
                  <c:v>15.533351117189225</c:v>
                </c:pt>
                <c:pt idx="81" formatCode="0.0000">
                  <c:v>12.822916666666668</c:v>
                </c:pt>
              </c:numCache>
            </c:numRef>
          </c:val>
          <c:smooth val="0"/>
        </c:ser>
        <c:ser>
          <c:idx val="8"/>
          <c:order val="97"/>
          <c:tx>
            <c:strRef>
              <c:f>'Rice (All)'!$E$6</c:f>
              <c:strCache>
                <c:ptCount val="1"/>
                <c:pt idx="0">
                  <c:v>Odessa, , in pound/ton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'Rice (All)'!$E$7:$E$107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0"/>
          <c:order val="98"/>
          <c:tx>
            <c:strRef>
              <c:f>'Rice (All)'!$R$6</c:f>
              <c:strCache>
                <c:ptCount val="1"/>
                <c:pt idx="0">
                  <c:v>Aleppo, , in pound/ton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val>
            <c:numRef>
              <c:f>'Rice (All)'!$R$7:$R$107</c:f>
              <c:numCache>
                <c:formatCode>0.0000</c:formatCode>
                <c:ptCount val="101"/>
              </c:numCache>
            </c:numRef>
          </c:val>
          <c:smooth val="0"/>
        </c:ser>
        <c:ser>
          <c:idx val="12"/>
          <c:order val="99"/>
          <c:tx>
            <c:strRef>
              <c:f>'Rice (All)'!$AB$6</c:f>
              <c:strCache>
                <c:ptCount val="1"/>
                <c:pt idx="0">
                  <c:v>Alexandria, Exports, in pound/ton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'Rice (All)'!$AB$7:$AB$107</c:f>
              <c:numCache>
                <c:formatCode>0.0000</c:formatCode>
                <c:ptCount val="10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625616"/>
        <c:axId val="293624496"/>
      </c:lineChart>
      <c:catAx>
        <c:axId val="29362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624496"/>
        <c:crosses val="autoZero"/>
        <c:auto val="1"/>
        <c:lblAlgn val="ctr"/>
        <c:lblOffset val="100"/>
        <c:noMultiLvlLbl val="0"/>
      </c:catAx>
      <c:valAx>
        <c:axId val="293624496"/>
        <c:scaling>
          <c:orientation val="minMax"/>
          <c:max val="4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625616"/>
        <c:crosses val="autoZero"/>
        <c:crossBetween val="between"/>
        <c:majorUnit val="5"/>
        <c:min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480540778341336"/>
          <c:y val="2.7022325866908663E-2"/>
          <c:w val="0.43879352068400734"/>
          <c:h val="0.884272825961628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Rice, UK &amp; Ottomon Empire, in pound/ton</a:t>
            </a:r>
          </a:p>
        </c:rich>
      </c:tx>
      <c:layout/>
      <c:overlay val="0"/>
      <c:spPr>
        <a:noFill/>
        <a:ln w="1587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'Rice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(Adjusted)'!$C$7:$C$107</c:f>
              <c:numCache>
                <c:formatCode>_(* #,##0.0000_);_(* \(#,##0.0000\);_(* "-"??_);_(@_)</c:formatCode>
                <c:ptCount val="92"/>
                <c:pt idx="14">
                  <c:v>14.103197323697373</c:v>
                </c:pt>
                <c:pt idx="15">
                  <c:v>14.615357807625735</c:v>
                </c:pt>
                <c:pt idx="16">
                  <c:v>10.76402200324431</c:v>
                </c:pt>
                <c:pt idx="17">
                  <c:v>11.443868777449964</c:v>
                </c:pt>
                <c:pt idx="18">
                  <c:v>9.0114227349071232</c:v>
                </c:pt>
                <c:pt idx="19">
                  <c:v>11.128935267555438</c:v>
                </c:pt>
                <c:pt idx="20">
                  <c:v>13.369819123129771</c:v>
                </c:pt>
                <c:pt idx="21">
                  <c:v>12.898024026982984</c:v>
                </c:pt>
                <c:pt idx="22">
                  <c:v>12.259460966998478</c:v>
                </c:pt>
                <c:pt idx="23">
                  <c:v>12.159438326708802</c:v>
                </c:pt>
                <c:pt idx="24">
                  <c:v>11.350700359198783</c:v>
                </c:pt>
                <c:pt idx="25">
                  <c:v>13.73</c:v>
                </c:pt>
                <c:pt idx="26">
                  <c:v>13.58</c:v>
                </c:pt>
                <c:pt idx="27">
                  <c:v>14.64</c:v>
                </c:pt>
                <c:pt idx="28">
                  <c:v>12.29</c:v>
                </c:pt>
                <c:pt idx="29">
                  <c:v>10.67</c:v>
                </c:pt>
                <c:pt idx="30">
                  <c:v>10.58</c:v>
                </c:pt>
                <c:pt idx="31">
                  <c:v>10.19</c:v>
                </c:pt>
                <c:pt idx="32">
                  <c:v>10</c:v>
                </c:pt>
                <c:pt idx="33">
                  <c:v>9.92</c:v>
                </c:pt>
                <c:pt idx="34">
                  <c:v>10.33</c:v>
                </c:pt>
                <c:pt idx="35">
                  <c:v>8.9499999999999993</c:v>
                </c:pt>
                <c:pt idx="36">
                  <c:v>9.06</c:v>
                </c:pt>
                <c:pt idx="37">
                  <c:v>10.55</c:v>
                </c:pt>
                <c:pt idx="38">
                  <c:v>10.48</c:v>
                </c:pt>
                <c:pt idx="39">
                  <c:v>10.15</c:v>
                </c:pt>
                <c:pt idx="40">
                  <c:v>9.52</c:v>
                </c:pt>
                <c:pt idx="41">
                  <c:v>8.64</c:v>
                </c:pt>
                <c:pt idx="42">
                  <c:v>7.98</c:v>
                </c:pt>
                <c:pt idx="43">
                  <c:v>8.1999999999999993</c:v>
                </c:pt>
                <c:pt idx="44">
                  <c:v>8.14</c:v>
                </c:pt>
                <c:pt idx="45">
                  <c:v>7.82</c:v>
                </c:pt>
                <c:pt idx="46">
                  <c:v>7.48</c:v>
                </c:pt>
                <c:pt idx="47">
                  <c:v>7.47</c:v>
                </c:pt>
                <c:pt idx="48">
                  <c:v>7.46</c:v>
                </c:pt>
                <c:pt idx="49">
                  <c:v>8.17</c:v>
                </c:pt>
                <c:pt idx="50">
                  <c:v>8.56</c:v>
                </c:pt>
                <c:pt idx="51">
                  <c:v>9.0299999999999994</c:v>
                </c:pt>
                <c:pt idx="52">
                  <c:v>8.89</c:v>
                </c:pt>
                <c:pt idx="53">
                  <c:v>7.85</c:v>
                </c:pt>
                <c:pt idx="54">
                  <c:v>7.62</c:v>
                </c:pt>
                <c:pt idx="55">
                  <c:v>7.3</c:v>
                </c:pt>
                <c:pt idx="56">
                  <c:v>7.45</c:v>
                </c:pt>
                <c:pt idx="57">
                  <c:v>8.17</c:v>
                </c:pt>
                <c:pt idx="58">
                  <c:v>8.82</c:v>
                </c:pt>
                <c:pt idx="59">
                  <c:v>8.7100000000000009</c:v>
                </c:pt>
                <c:pt idx="63">
                  <c:v>8.7200000000000006</c:v>
                </c:pt>
                <c:pt idx="64">
                  <c:v>7.83</c:v>
                </c:pt>
                <c:pt idx="65">
                  <c:v>8.27</c:v>
                </c:pt>
                <c:pt idx="66">
                  <c:v>8.68</c:v>
                </c:pt>
                <c:pt idx="67">
                  <c:v>9.68</c:v>
                </c:pt>
                <c:pt idx="68">
                  <c:v>9.15</c:v>
                </c:pt>
                <c:pt idx="69">
                  <c:v>8.83</c:v>
                </c:pt>
                <c:pt idx="70">
                  <c:v>8.59</c:v>
                </c:pt>
                <c:pt idx="71">
                  <c:v>9.27</c:v>
                </c:pt>
                <c:pt idx="72">
                  <c:v>11.3</c:v>
                </c:pt>
                <c:pt idx="73">
                  <c:v>10.56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'Rice (Adjusted)'!$D$6</c:f>
              <c:strCache>
                <c:ptCount val="1"/>
                <c:pt idx="0">
                  <c:v>UK, Foreign and Colonial Exports,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(Adjusted)'!$D$7:$D$107</c:f>
              <c:numCache>
                <c:formatCode>_(* #,##0.0000_);_(* \(#,##0.0000\);_(* "-"??_);_(@_)</c:formatCode>
                <c:ptCount val="92"/>
                <c:pt idx="14">
                  <c:v>14.083332297480391</c:v>
                </c:pt>
                <c:pt idx="15">
                  <c:v>14.583347696844182</c:v>
                </c:pt>
                <c:pt idx="16">
                  <c:v>10.749996103844911</c:v>
                </c:pt>
                <c:pt idx="17">
                  <c:v>11.416666201915149</c:v>
                </c:pt>
                <c:pt idx="18">
                  <c:v>9.0003851084722193</c:v>
                </c:pt>
                <c:pt idx="19">
                  <c:v>11.166668831028288</c:v>
                </c:pt>
                <c:pt idx="20">
                  <c:v>13.416668797790452</c:v>
                </c:pt>
                <c:pt idx="21">
                  <c:v>12.916661827860839</c:v>
                </c:pt>
                <c:pt idx="22">
                  <c:v>12.249999803466691</c:v>
                </c:pt>
                <c:pt idx="23">
                  <c:v>12.166663554019983</c:v>
                </c:pt>
                <c:pt idx="24">
                  <c:v>11.33333928810683</c:v>
                </c:pt>
                <c:pt idx="25">
                  <c:v>13.749998209546128</c:v>
                </c:pt>
                <c:pt idx="26">
                  <c:v>13.583331600763561</c:v>
                </c:pt>
                <c:pt idx="27">
                  <c:v>14.666666666666666</c:v>
                </c:pt>
                <c:pt idx="28">
                  <c:v>12.333336599034006</c:v>
                </c:pt>
                <c:pt idx="29">
                  <c:v>10.666660826449178</c:v>
                </c:pt>
                <c:pt idx="30">
                  <c:v>10.583330332385035</c:v>
                </c:pt>
                <c:pt idx="31">
                  <c:v>12.308464509066583</c:v>
                </c:pt>
                <c:pt idx="32">
                  <c:v>12.607540507999966</c:v>
                </c:pt>
                <c:pt idx="33">
                  <c:v>11.740083761545105</c:v>
                </c:pt>
                <c:pt idx="34">
                  <c:v>12.304800755710003</c:v>
                </c:pt>
                <c:pt idx="35">
                  <c:v>11.003075858577642</c:v>
                </c:pt>
                <c:pt idx="36">
                  <c:v>10.740606916430709</c:v>
                </c:pt>
                <c:pt idx="37">
                  <c:v>12.572755452258406</c:v>
                </c:pt>
                <c:pt idx="38">
                  <c:v>12.646175552901486</c:v>
                </c:pt>
                <c:pt idx="39">
                  <c:v>12.111918445967746</c:v>
                </c:pt>
                <c:pt idx="40">
                  <c:v>11.634829111836106</c:v>
                </c:pt>
                <c:pt idx="41">
                  <c:v>10.288512958339531</c:v>
                </c:pt>
                <c:pt idx="42">
                  <c:v>9.5062068139602491</c:v>
                </c:pt>
                <c:pt idx="43">
                  <c:v>9.5958721210596725</c:v>
                </c:pt>
                <c:pt idx="44">
                  <c:v>9.7721508526520022</c:v>
                </c:pt>
                <c:pt idx="45">
                  <c:v>9.3573422499581032</c:v>
                </c:pt>
                <c:pt idx="46">
                  <c:v>8.9676127712744922</c:v>
                </c:pt>
                <c:pt idx="47">
                  <c:v>8.7418012930277929</c:v>
                </c:pt>
                <c:pt idx="48">
                  <c:v>8.6611977300167062</c:v>
                </c:pt>
                <c:pt idx="49">
                  <c:v>9.3321192957478338</c:v>
                </c:pt>
                <c:pt idx="50">
                  <c:v>9.4521901011252414</c:v>
                </c:pt>
                <c:pt idx="51">
                  <c:v>9.3965995453857776</c:v>
                </c:pt>
                <c:pt idx="52">
                  <c:v>9.4978037904675379</c:v>
                </c:pt>
                <c:pt idx="53">
                  <c:v>8.3867810398369187</c:v>
                </c:pt>
                <c:pt idx="54">
                  <c:v>7.809083358995176</c:v>
                </c:pt>
                <c:pt idx="55">
                  <c:v>7.2604343093216919</c:v>
                </c:pt>
                <c:pt idx="56">
                  <c:v>7.6481463236529912</c:v>
                </c:pt>
                <c:pt idx="57">
                  <c:v>8.9566427212584117</c:v>
                </c:pt>
                <c:pt idx="58">
                  <c:v>9.4003178271388634</c:v>
                </c:pt>
                <c:pt idx="59">
                  <c:v>8.9073878527984593</c:v>
                </c:pt>
                <c:pt idx="63">
                  <c:v>9.4880053938202362</c:v>
                </c:pt>
                <c:pt idx="64">
                  <c:v>8.2194860417162161</c:v>
                </c:pt>
                <c:pt idx="65">
                  <c:v>8.8014826096277119</c:v>
                </c:pt>
                <c:pt idx="66">
                  <c:v>9.8068788451468585</c:v>
                </c:pt>
                <c:pt idx="67">
                  <c:v>10.772960587892795</c:v>
                </c:pt>
                <c:pt idx="68">
                  <c:v>10.139318228440866</c:v>
                </c:pt>
                <c:pt idx="69">
                  <c:v>9.9958562243520337</c:v>
                </c:pt>
                <c:pt idx="70">
                  <c:v>9.2642174317075643</c:v>
                </c:pt>
                <c:pt idx="71">
                  <c:v>9.7612240425888448</c:v>
                </c:pt>
                <c:pt idx="72">
                  <c:v>12.473587498789112</c:v>
                </c:pt>
                <c:pt idx="73">
                  <c:v>11.782113793657098</c:v>
                </c:pt>
                <c:pt idx="74">
                  <c:v>10.796807864392488</c:v>
                </c:pt>
                <c:pt idx="75">
                  <c:v>11.850360161990087</c:v>
                </c:pt>
                <c:pt idx="76">
                  <c:v>16.720349164565679</c:v>
                </c:pt>
                <c:pt idx="77">
                  <c:v>20.354333570002964</c:v>
                </c:pt>
                <c:pt idx="78">
                  <c:v>32.643729189789127</c:v>
                </c:pt>
                <c:pt idx="79">
                  <c:v>27.625954141957074</c:v>
                </c:pt>
                <c:pt idx="80">
                  <c:v>43.575690247028042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'Rice (Adjusted)'!$E$6</c:f>
              <c:strCache>
                <c:ptCount val="1"/>
                <c:pt idx="0">
                  <c:v>Baghdad, Imports,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(Adjusted)'!$E$7:$E$107</c:f>
              <c:numCache>
                <c:formatCode>0.0000</c:formatCode>
                <c:ptCount val="92"/>
                <c:pt idx="26" formatCode="_(* #,##0.0000_);_(* \(#,##0.0000\);_(* &quot;-&quot;??_);_(@_)">
                  <c:v>10.944396886393285</c:v>
                </c:pt>
                <c:pt idx="27" formatCode="_(* #,##0.0000_);_(* \(#,##0.0000\);_(* &quot;-&quot;??_);_(@_)">
                  <c:v>17.68840971830986</c:v>
                </c:pt>
                <c:pt idx="28" formatCode="_(* #,##0.0000_);_(* \(#,##0.0000\);_(* &quot;-&quot;??_);_(@_)">
                  <c:v>7.5591430174850238</c:v>
                </c:pt>
                <c:pt idx="29" formatCode="_(* #,##0.0000_);_(* \(#,##0.0000\);_(* &quot;-&quot;??_);_(@_)">
                  <c:v>8.1967524419027527</c:v>
                </c:pt>
                <c:pt idx="30" formatCode="_(* #,##0.0000_);_(* \(#,##0.0000\);_(* &quot;-&quot;??_);_(@_)">
                  <c:v>11.278023563498831</c:v>
                </c:pt>
                <c:pt idx="37" formatCode="_(* #,##0.0000_);_(* \(#,##0.0000\);_(* &quot;-&quot;??_);_(@_)">
                  <c:v>10.173391260756057</c:v>
                </c:pt>
                <c:pt idx="57" formatCode="_(* #,##0.0000_);_(* \(#,##0.0000\);_(* &quot;-&quot;??_);_(@_)">
                  <c:v>11.592091571279925</c:v>
                </c:pt>
                <c:pt idx="62" formatCode="_(* #,##0.0000_);_(* \(#,##0.0000\);_(* &quot;-&quot;??_);_(@_)">
                  <c:v>27.654320987654366</c:v>
                </c:pt>
                <c:pt idx="67" formatCode="_(* #,##0.0000_);_(* \(#,##0.0000\);_(* &quot;-&quot;??_);_(@_)">
                  <c:v>13.333333333333329</c:v>
                </c:pt>
                <c:pt idx="68" formatCode="_(* #,##0.0000_);_(* \(#,##0.0000\);_(* &quot;-&quot;??_);_(@_)">
                  <c:v>13.333333333333329</c:v>
                </c:pt>
                <c:pt idx="69" formatCode="_(* #,##0.0000_);_(* \(#,##0.0000\);_(* &quot;-&quot;??_);_(@_)">
                  <c:v>14.545454545454536</c:v>
                </c:pt>
                <c:pt idx="70" formatCode="_(* #,##0.0000_);_(* \(#,##0.0000\);_(* &quot;-&quot;??_);_(@_)">
                  <c:v>13.373253493013973</c:v>
                </c:pt>
                <c:pt idx="71" formatCode="_(* #,##0.0000_);_(* \(#,##0.0000\);_(* &quot;-&quot;??_);_(@_)">
                  <c:v>12.266666666666675</c:v>
                </c:pt>
                <c:pt idx="72" formatCode="_(* #,##0.0000_);_(* \(#,##0.0000\);_(* &quot;-&quot;??_);_(@_)">
                  <c:v>20.189125295508266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'Rice (Adjusted)'!$F$6</c:f>
              <c:strCache>
                <c:ptCount val="1"/>
                <c:pt idx="0">
                  <c:v>Baghdad, Exports, in pound/ton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(Adjusted)'!$F$7:$F$107</c:f>
              <c:numCache>
                <c:formatCode>0.0000</c:formatCode>
                <c:ptCount val="92"/>
                <c:pt idx="27" formatCode="_(* #,##0.0000_);_(* \(#,##0.0000\);_(* &quot;-&quot;??_);_(@_)">
                  <c:v>13.382628830462775</c:v>
                </c:pt>
                <c:pt idx="29" formatCode="_(* #,##0.0000_);_(* \(#,##0.0000\);_(* &quot;-&quot;??_);_(@_)">
                  <c:v>10.107574919603259</c:v>
                </c:pt>
                <c:pt idx="37" formatCode="_(* #,##0.0000_);_(* \(#,##0.0000\);_(* &quot;-&quot;??_);_(@_)">
                  <c:v>11.780899979238789</c:v>
                </c:pt>
                <c:pt idx="38" formatCode="_(* #,##0.0000_);_(* \(#,##0.0000\);_(* &quot;-&quot;??_);_(@_)">
                  <c:v>9.9999999999999893</c:v>
                </c:pt>
                <c:pt idx="61" formatCode="_(* #,##0.0000_);_(* \(#,##0.0000\);_(* &quot;-&quot;??_);_(@_)">
                  <c:v>16.877637130801688</c:v>
                </c:pt>
                <c:pt idx="68" formatCode="_(* #,##0.0000_);_(* \(#,##0.0000\);_(* &quot;-&quot;??_);_(@_)">
                  <c:v>10.704225352112678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'Rice (Adjusted)'!$H$6</c:f>
              <c:strCache>
                <c:ptCount val="1"/>
                <c:pt idx="0">
                  <c:v>Basrah,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(Adjusted)'!$H$7:$H$107</c:f>
              <c:numCache>
                <c:formatCode>0.0000</c:formatCode>
                <c:ptCount val="92"/>
                <c:pt idx="33">
                  <c:v>4.1437499999999936</c:v>
                </c:pt>
                <c:pt idx="47">
                  <c:v>7.1755097895285953</c:v>
                </c:pt>
                <c:pt idx="48">
                  <c:v>6.9416117186113597</c:v>
                </c:pt>
                <c:pt idx="49">
                  <c:v>6.9261859178898177</c:v>
                </c:pt>
                <c:pt idx="50">
                  <c:v>6.7078015383315108</c:v>
                </c:pt>
                <c:pt idx="51">
                  <c:v>6.6373755125952068</c:v>
                </c:pt>
                <c:pt idx="52">
                  <c:v>6.666666666666675</c:v>
                </c:pt>
                <c:pt idx="53">
                  <c:v>6.666666666666675</c:v>
                </c:pt>
                <c:pt idx="54">
                  <c:v>6.666666666666675</c:v>
                </c:pt>
                <c:pt idx="55">
                  <c:v>6.666666666666675</c:v>
                </c:pt>
                <c:pt idx="56">
                  <c:v>6.6660608814175264</c:v>
                </c:pt>
                <c:pt idx="57">
                  <c:v>9.999325099547816</c:v>
                </c:pt>
                <c:pt idx="58">
                  <c:v>9.9999999999999893</c:v>
                </c:pt>
                <c:pt idx="59">
                  <c:v>8.6664650740852807</c:v>
                </c:pt>
                <c:pt idx="60">
                  <c:v>8.6668532512361178</c:v>
                </c:pt>
                <c:pt idx="61">
                  <c:v>9.9993145520597739</c:v>
                </c:pt>
                <c:pt idx="62">
                  <c:v>9.9998486980466819</c:v>
                </c:pt>
                <c:pt idx="63">
                  <c:v>9.9998371680263158</c:v>
                </c:pt>
                <c:pt idx="64">
                  <c:v>9.9996589940323997</c:v>
                </c:pt>
                <c:pt idx="65">
                  <c:v>10.666825387377735</c:v>
                </c:pt>
                <c:pt idx="66">
                  <c:v>4.2227138643067841</c:v>
                </c:pt>
                <c:pt idx="67">
                  <c:v>13.333333333333329</c:v>
                </c:pt>
                <c:pt idx="68">
                  <c:v>14.665354330708659</c:v>
                </c:pt>
                <c:pt idx="69">
                  <c:v>13.333333333333329</c:v>
                </c:pt>
                <c:pt idx="70">
                  <c:v>13.333333333333329</c:v>
                </c:pt>
                <c:pt idx="71">
                  <c:v>13.333333333333329</c:v>
                </c:pt>
                <c:pt idx="72">
                  <c:v>13.333333333333329</c:v>
                </c:pt>
                <c:pt idx="73">
                  <c:v>13.333333333333329</c:v>
                </c:pt>
              </c:numCache>
            </c:numRef>
          </c:val>
          <c:smooth val="0"/>
        </c:ser>
        <c:ser>
          <c:idx val="8"/>
          <c:order val="5"/>
          <c:tx>
            <c:strRef>
              <c:f>'Rice (Adjusted)'!$I$6</c:f>
              <c:strCache>
                <c:ptCount val="1"/>
                <c:pt idx="0">
                  <c:v>Basrah,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(Adjusted)'!$I$7:$I$107</c:f>
              <c:numCache>
                <c:formatCode>0.0000</c:formatCode>
                <c:ptCount val="92"/>
                <c:pt idx="49">
                  <c:v>4.3234023823278624</c:v>
                </c:pt>
                <c:pt idx="50">
                  <c:v>5.0321235483792677</c:v>
                </c:pt>
                <c:pt idx="58">
                  <c:v>3.9195402298850559</c:v>
                </c:pt>
                <c:pt idx="59">
                  <c:v>3.6665871603398017</c:v>
                </c:pt>
                <c:pt idx="60">
                  <c:v>3.6665122194071165</c:v>
                </c:pt>
                <c:pt idx="61">
                  <c:v>3.9999468833824636</c:v>
                </c:pt>
                <c:pt idx="62">
                  <c:v>3.9998394927972321</c:v>
                </c:pt>
                <c:pt idx="63">
                  <c:v>4.0000815843684414</c:v>
                </c:pt>
                <c:pt idx="64">
                  <c:v>4.3334607380982622</c:v>
                </c:pt>
                <c:pt idx="65">
                  <c:v>4.1687041564792064</c:v>
                </c:pt>
                <c:pt idx="66">
                  <c:v>4.2222468016074979</c:v>
                </c:pt>
                <c:pt idx="67">
                  <c:v>6.2766989019052861</c:v>
                </c:pt>
                <c:pt idx="68">
                  <c:v>6.6665030313443525</c:v>
                </c:pt>
                <c:pt idx="69">
                  <c:v>6.666666666666675</c:v>
                </c:pt>
                <c:pt idx="70">
                  <c:v>6.6669315638203486</c:v>
                </c:pt>
                <c:pt idx="71">
                  <c:v>6.6664771596691299</c:v>
                </c:pt>
                <c:pt idx="72">
                  <c:v>7.3337069638127907</c:v>
                </c:pt>
                <c:pt idx="73">
                  <c:v>7.9750778816199457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'Rice (Adjusted)'!$K$6</c:f>
              <c:strCache>
                <c:ptCount val="1"/>
                <c:pt idx="0">
                  <c:v>Mosul,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(Adjusted)'!$K$7:$K$107</c:f>
              <c:numCache>
                <c:formatCode>0.0000</c:formatCode>
                <c:ptCount val="92"/>
                <c:pt idx="44">
                  <c:v>10.909090909090899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'Rice (Adjusted)'!$L$6</c:f>
              <c:strCache>
                <c:ptCount val="1"/>
                <c:pt idx="0">
                  <c:v>Egypt,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(Adjusted)'!$L$7:$L$107</c:f>
              <c:numCache>
                <c:formatCode>0.0000</c:formatCode>
                <c:ptCount val="92"/>
                <c:pt idx="45">
                  <c:v>9.8499170305676849</c:v>
                </c:pt>
                <c:pt idx="46">
                  <c:v>9.1886494158030239</c:v>
                </c:pt>
                <c:pt idx="47">
                  <c:v>9.0157976071784649</c:v>
                </c:pt>
                <c:pt idx="48">
                  <c:v>9.2510610176958661</c:v>
                </c:pt>
                <c:pt idx="49">
                  <c:v>9.3508204323321671</c:v>
                </c:pt>
                <c:pt idx="50">
                  <c:v>10.826181264666708</c:v>
                </c:pt>
                <c:pt idx="51">
                  <c:v>9.1605333792154156</c:v>
                </c:pt>
                <c:pt idx="52">
                  <c:v>9.5057302886686781</c:v>
                </c:pt>
                <c:pt idx="53">
                  <c:v>7.3823674726807713</c:v>
                </c:pt>
                <c:pt idx="54">
                  <c:v>6.3410779205041203</c:v>
                </c:pt>
                <c:pt idx="55">
                  <c:v>6.1156184958091915</c:v>
                </c:pt>
                <c:pt idx="56">
                  <c:v>5.9190115123214202</c:v>
                </c:pt>
                <c:pt idx="57">
                  <c:v>7.1895670826833067</c:v>
                </c:pt>
                <c:pt idx="58">
                  <c:v>7.2772048497331712</c:v>
                </c:pt>
                <c:pt idx="59">
                  <c:v>7.8532104182601339</c:v>
                </c:pt>
                <c:pt idx="60">
                  <c:v>8.0524861060870148</c:v>
                </c:pt>
                <c:pt idx="61">
                  <c:v>7.484460864063629</c:v>
                </c:pt>
                <c:pt idx="62">
                  <c:v>6.9495219533720665</c:v>
                </c:pt>
                <c:pt idx="63">
                  <c:v>8.357512966940849</c:v>
                </c:pt>
                <c:pt idx="64">
                  <c:v>7.5481194971215713</c:v>
                </c:pt>
                <c:pt idx="65">
                  <c:v>7.8418128583329247</c:v>
                </c:pt>
                <c:pt idx="66">
                  <c:v>8.1843705339742758</c:v>
                </c:pt>
                <c:pt idx="67">
                  <c:v>9.0576281755196302</c:v>
                </c:pt>
                <c:pt idx="68">
                  <c:v>8.8749446010197701</c:v>
                </c:pt>
                <c:pt idx="69">
                  <c:v>8.1426815712569702</c:v>
                </c:pt>
                <c:pt idx="70">
                  <c:v>8.0960159362549788</c:v>
                </c:pt>
                <c:pt idx="71">
                  <c:v>8.7918264733395688</c:v>
                </c:pt>
                <c:pt idx="72">
                  <c:v>10.798970648185893</c:v>
                </c:pt>
                <c:pt idx="73">
                  <c:v>9.4288302553810457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'Rice (Adjusted)'!$N$6</c:f>
              <c:strCache>
                <c:ptCount val="1"/>
                <c:pt idx="0">
                  <c:v>Palestine,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(Adjusted)'!$N$7:$N$107</c:f>
              <c:numCache>
                <c:formatCode>0.0000</c:formatCode>
                <c:ptCount val="92"/>
                <c:pt idx="33">
                  <c:v>18.82109374081001</c:v>
                </c:pt>
                <c:pt idx="34">
                  <c:v>16.933690934114416</c:v>
                </c:pt>
                <c:pt idx="35">
                  <c:v>16.503803127740028</c:v>
                </c:pt>
                <c:pt idx="36">
                  <c:v>18.4000090406903</c:v>
                </c:pt>
                <c:pt idx="37">
                  <c:v>19.147536156170954</c:v>
                </c:pt>
                <c:pt idx="39">
                  <c:v>20.200702379800049</c:v>
                </c:pt>
                <c:pt idx="40">
                  <c:v>17.188880090750949</c:v>
                </c:pt>
                <c:pt idx="41">
                  <c:v>16.115297648731701</c:v>
                </c:pt>
                <c:pt idx="42">
                  <c:v>14.269516885032035</c:v>
                </c:pt>
                <c:pt idx="43">
                  <c:v>16.065143689245684</c:v>
                </c:pt>
                <c:pt idx="44">
                  <c:v>14.153271525240692</c:v>
                </c:pt>
                <c:pt idx="45">
                  <c:v>14.999999999999996</c:v>
                </c:pt>
                <c:pt idx="46">
                  <c:v>11.749999999999991</c:v>
                </c:pt>
                <c:pt idx="47">
                  <c:v>11.636363636363624</c:v>
                </c:pt>
                <c:pt idx="48">
                  <c:v>20.376470588235307</c:v>
                </c:pt>
                <c:pt idx="49">
                  <c:v>21</c:v>
                </c:pt>
                <c:pt idx="50">
                  <c:v>10.761904761904756</c:v>
                </c:pt>
                <c:pt idx="52">
                  <c:v>12.000000000000005</c:v>
                </c:pt>
                <c:pt idx="53">
                  <c:v>12.000000000000005</c:v>
                </c:pt>
                <c:pt idx="54">
                  <c:v>11.833333333333345</c:v>
                </c:pt>
                <c:pt idx="55">
                  <c:v>9.9999999999999893</c:v>
                </c:pt>
                <c:pt idx="56">
                  <c:v>9.9999999999999893</c:v>
                </c:pt>
                <c:pt idx="57">
                  <c:v>9.9999999999999893</c:v>
                </c:pt>
                <c:pt idx="58">
                  <c:v>15.434782608695654</c:v>
                </c:pt>
                <c:pt idx="59">
                  <c:v>10.833333333333323</c:v>
                </c:pt>
                <c:pt idx="60">
                  <c:v>10.47126436781609</c:v>
                </c:pt>
                <c:pt idx="61">
                  <c:v>9.0781843631273755</c:v>
                </c:pt>
                <c:pt idx="62">
                  <c:v>9.4601287766220938</c:v>
                </c:pt>
                <c:pt idx="63">
                  <c:v>10.315265486725673</c:v>
                </c:pt>
                <c:pt idx="64">
                  <c:v>10.264550264550266</c:v>
                </c:pt>
                <c:pt idx="65">
                  <c:v>11.766467065868255</c:v>
                </c:pt>
                <c:pt idx="66">
                  <c:v>12.621195717550828</c:v>
                </c:pt>
                <c:pt idx="67">
                  <c:v>12.762706579357662</c:v>
                </c:pt>
                <c:pt idx="69">
                  <c:v>12.969326431036528</c:v>
                </c:pt>
                <c:pt idx="70">
                  <c:v>11.633117402431214</c:v>
                </c:pt>
                <c:pt idx="71">
                  <c:v>15.425945816923264</c:v>
                </c:pt>
                <c:pt idx="72">
                  <c:v>15.999999999999993</c:v>
                </c:pt>
                <c:pt idx="73">
                  <c:v>12.368935293152749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'Rice (Adjusted)'!$O$6</c:f>
              <c:strCache>
                <c:ptCount val="1"/>
                <c:pt idx="0">
                  <c:v>Palestine,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(Adjusted)'!$O$7:$O$107</c:f>
              <c:numCache>
                <c:formatCode>0.0000</c:formatCode>
                <c:ptCount val="92"/>
                <c:pt idx="18">
                  <c:v>20.159684863806209</c:v>
                </c:pt>
                <c:pt idx="40">
                  <c:v>19.472422879812804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'Rice (Adjusted)'!$Q$6</c:f>
              <c:strCache>
                <c:ptCount val="1"/>
                <c:pt idx="0">
                  <c:v>Damascus,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(Adjusted)'!$Q$7:$Q$107</c:f>
              <c:numCache>
                <c:formatCode>0.0000</c:formatCode>
                <c:ptCount val="92"/>
                <c:pt idx="42" formatCode="_(* #,##0.0000_);_(* \(#,##0.0000\);_(* &quot;-&quot;??_);_(@_)">
                  <c:v>14.227131471408619</c:v>
                </c:pt>
                <c:pt idx="47" formatCode="_(* #,##0.0000_);_(* \(#,##0.0000\);_(* &quot;-&quot;??_);_(@_)">
                  <c:v>14.546115307738233</c:v>
                </c:pt>
                <c:pt idx="48" formatCode="_(* #,##0.0000_);_(* \(#,##0.0000\);_(* &quot;-&quot;??_);_(@_)">
                  <c:v>29.014177382129905</c:v>
                </c:pt>
                <c:pt idx="49" formatCode="_(* #,##0.0000_);_(* \(#,##0.0000\);_(* &quot;-&quot;??_);_(@_)">
                  <c:v>15.263140484932686</c:v>
                </c:pt>
                <c:pt idx="50" formatCode="_(* #,##0.0000_);_(* \(#,##0.0000\);_(* &quot;-&quot;??_);_(@_)">
                  <c:v>19.012410879324001</c:v>
                </c:pt>
                <c:pt idx="51" formatCode="_(* #,##0.0000_);_(* \(#,##0.0000\);_(* &quot;-&quot;??_);_(@_)">
                  <c:v>16.377649325626205</c:v>
                </c:pt>
                <c:pt idx="52" formatCode="_(* #,##0.0000_);_(* \(#,##0.0000\);_(* &quot;-&quot;??_);_(@_)">
                  <c:v>17.066666666666666</c:v>
                </c:pt>
                <c:pt idx="53" formatCode="_(* #,##0.0000_);_(* \(#,##0.0000\);_(* &quot;-&quot;??_);_(@_)">
                  <c:v>19.106759016001909</c:v>
                </c:pt>
                <c:pt idx="54" formatCode="_(* #,##0.0000_);_(* \(#,##0.0000\);_(* &quot;-&quot;??_);_(@_)">
                  <c:v>16.279069767441861</c:v>
                </c:pt>
                <c:pt idx="58" formatCode="_(* #,##0.0000_);_(* \(#,##0.0000\);_(* &quot;-&quot;??_);_(@_)">
                  <c:v>16</c:v>
                </c:pt>
                <c:pt idx="61" formatCode="_(* #,##0.0000_);_(* \(#,##0.0000\);_(* &quot;-&quot;??_);_(@_)">
                  <c:v>15.925925925925926</c:v>
                </c:pt>
                <c:pt idx="62" formatCode="_(* #,##0.0000_);_(* \(#,##0.0000\);_(* &quot;-&quot;??_);_(@_)">
                  <c:v>16.279069767441861</c:v>
                </c:pt>
                <c:pt idx="63" formatCode="_(* #,##0.0000_);_(* \(#,##0.0000\);_(* &quot;-&quot;??_);_(@_)">
                  <c:v>16.5</c:v>
                </c:pt>
                <c:pt idx="64" formatCode="_(* #,##0.0000_);_(* \(#,##0.0000\);_(* &quot;-&quot;??_);_(@_)">
                  <c:v>14.761904761904763</c:v>
                </c:pt>
                <c:pt idx="68" formatCode="_(* #,##0.0000_);_(* \(#,##0.0000\);_(* &quot;-&quot;??_);_(@_)">
                  <c:v>20</c:v>
                </c:pt>
                <c:pt idx="69" formatCode="_(* #,##0.0000_);_(* \(#,##0.0000\);_(* &quot;-&quot;??_);_(@_)">
                  <c:v>20</c:v>
                </c:pt>
                <c:pt idx="70" formatCode="_(* #,##0.0000_);_(* \(#,##0.0000\);_(* &quot;-&quot;??_);_(@_)">
                  <c:v>20</c:v>
                </c:pt>
                <c:pt idx="71" formatCode="_(* #,##0.0000_);_(* \(#,##0.0000\);_(* &quot;-&quot;??_);_(@_)">
                  <c:v>20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'Rice (Adjusted)'!$R$6</c:f>
              <c:strCache>
                <c:ptCount val="1"/>
                <c:pt idx="0">
                  <c:v>Beirut,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(Adjusted)'!$R$7:$R$107</c:f>
              <c:numCache>
                <c:formatCode>0.0000</c:formatCode>
                <c:ptCount val="92"/>
                <c:pt idx="31">
                  <c:v>15.65625</c:v>
                </c:pt>
                <c:pt idx="32">
                  <c:v>16.78125</c:v>
                </c:pt>
                <c:pt idx="33">
                  <c:v>18.291666666666664</c:v>
                </c:pt>
                <c:pt idx="36">
                  <c:v>11</c:v>
                </c:pt>
                <c:pt idx="38">
                  <c:v>16.48544423440454</c:v>
                </c:pt>
                <c:pt idx="39">
                  <c:v>13.999321573948439</c:v>
                </c:pt>
                <c:pt idx="41">
                  <c:v>11.87648456057007</c:v>
                </c:pt>
                <c:pt idx="42">
                  <c:v>12.022194821208386</c:v>
                </c:pt>
                <c:pt idx="43">
                  <c:v>11.750096824167313</c:v>
                </c:pt>
                <c:pt idx="44">
                  <c:v>10</c:v>
                </c:pt>
                <c:pt idx="45">
                  <c:v>10</c:v>
                </c:pt>
                <c:pt idx="46">
                  <c:v>9.25</c:v>
                </c:pt>
                <c:pt idx="47">
                  <c:v>8.25</c:v>
                </c:pt>
                <c:pt idx="48">
                  <c:v>9.3333333333333339</c:v>
                </c:pt>
                <c:pt idx="49">
                  <c:v>8.5</c:v>
                </c:pt>
                <c:pt idx="50">
                  <c:v>8.75</c:v>
                </c:pt>
                <c:pt idx="51">
                  <c:v>8.5</c:v>
                </c:pt>
                <c:pt idx="52">
                  <c:v>9</c:v>
                </c:pt>
                <c:pt idx="53">
                  <c:v>9.5</c:v>
                </c:pt>
                <c:pt idx="54">
                  <c:v>7.25</c:v>
                </c:pt>
                <c:pt idx="55">
                  <c:v>10.120481927710843</c:v>
                </c:pt>
                <c:pt idx="56">
                  <c:v>9</c:v>
                </c:pt>
                <c:pt idx="57">
                  <c:v>9</c:v>
                </c:pt>
                <c:pt idx="58">
                  <c:v>9.25</c:v>
                </c:pt>
                <c:pt idx="59">
                  <c:v>8.5</c:v>
                </c:pt>
                <c:pt idx="60">
                  <c:v>9</c:v>
                </c:pt>
                <c:pt idx="61">
                  <c:v>8</c:v>
                </c:pt>
              </c:numCache>
            </c:numRef>
          </c:val>
          <c:smooth val="0"/>
        </c:ser>
        <c:ser>
          <c:idx val="18"/>
          <c:order val="12"/>
          <c:tx>
            <c:strRef>
              <c:f>'Rice (Adjusted)'!$S$6</c:f>
              <c:strCache>
                <c:ptCount val="1"/>
                <c:pt idx="0">
                  <c:v>Turkey,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(Adjusted)'!$S$7:$S$107</c:f>
              <c:numCache>
                <c:formatCode>0.0000</c:formatCode>
                <c:ptCount val="92"/>
                <c:pt idx="70">
                  <c:v>10.015331440338924</c:v>
                </c:pt>
                <c:pt idx="71">
                  <c:v>10.585101642720639</c:v>
                </c:pt>
              </c:numCache>
            </c:numRef>
          </c:val>
          <c:smooth val="0"/>
        </c:ser>
        <c:ser>
          <c:idx val="19"/>
          <c:order val="13"/>
          <c:tx>
            <c:strRef>
              <c:f>'Rice (Adjusted)'!$T$6</c:f>
              <c:strCache>
                <c:ptCount val="1"/>
                <c:pt idx="0">
                  <c:v>Turkey,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(Adjusted)'!$T$7:$T$107</c:f>
              <c:numCache>
                <c:formatCode>0.0000</c:formatCode>
                <c:ptCount val="92"/>
                <c:pt idx="71">
                  <c:v>3.4770514603616132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'Rice (Adjusted)'!$U$6</c:f>
              <c:strCache>
                <c:ptCount val="1"/>
                <c:pt idx="0">
                  <c:v>Constantinople,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(Adjusted)'!$U$7:$U$107</c:f>
              <c:numCache>
                <c:formatCode>0.0000</c:formatCode>
                <c:ptCount val="92"/>
                <c:pt idx="57">
                  <c:v>15</c:v>
                </c:pt>
                <c:pt idx="67">
                  <c:v>14.251401120896718</c:v>
                </c:pt>
                <c:pt idx="70">
                  <c:v>9.0243902439024382</c:v>
                </c:pt>
              </c:numCache>
            </c:numRef>
          </c:val>
          <c:smooth val="0"/>
        </c:ser>
        <c:ser>
          <c:idx val="21"/>
          <c:order val="15"/>
          <c:tx>
            <c:strRef>
              <c:f>'Rice (Adjusted)'!$V$6</c:f>
              <c:strCache>
                <c:ptCount val="1"/>
                <c:pt idx="0">
                  <c:v>Constantinople,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(Adjusted)'!$V$7:$V$107</c:f>
              <c:numCache>
                <c:formatCode>0.0000</c:formatCode>
                <c:ptCount val="92"/>
                <c:pt idx="45">
                  <c:v>17.389285705705277</c:v>
                </c:pt>
                <c:pt idx="46">
                  <c:v>13.81818181818182</c:v>
                </c:pt>
              </c:numCache>
            </c:numRef>
          </c:val>
          <c:smooth val="0"/>
        </c:ser>
        <c:ser>
          <c:idx val="22"/>
          <c:order val="16"/>
          <c:tx>
            <c:strRef>
              <c:f>'Rice (Adjusted)'!$W$6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(Adjusted)'!$W$7:$W$107</c:f>
              <c:numCache>
                <c:formatCode>0.0000</c:formatCode>
                <c:ptCount val="92"/>
                <c:pt idx="43">
                  <c:v>15</c:v>
                </c:pt>
                <c:pt idx="44">
                  <c:v>13</c:v>
                </c:pt>
                <c:pt idx="45">
                  <c:v>11.493670886075948</c:v>
                </c:pt>
                <c:pt idx="46">
                  <c:v>13.280106453759149</c:v>
                </c:pt>
                <c:pt idx="47">
                  <c:v>11.994261119081779</c:v>
                </c:pt>
                <c:pt idx="48">
                  <c:v>12.009569377990431</c:v>
                </c:pt>
                <c:pt idx="49">
                  <c:v>12.871287128712872</c:v>
                </c:pt>
                <c:pt idx="50">
                  <c:v>12.79954571266326</c:v>
                </c:pt>
                <c:pt idx="51">
                  <c:v>10.782208588957056</c:v>
                </c:pt>
                <c:pt idx="52">
                  <c:v>12</c:v>
                </c:pt>
                <c:pt idx="53">
                  <c:v>12.006717044500419</c:v>
                </c:pt>
                <c:pt idx="54">
                  <c:v>11.994996873045654</c:v>
                </c:pt>
                <c:pt idx="55">
                  <c:v>12.004479283314671</c:v>
                </c:pt>
                <c:pt idx="56">
                  <c:v>12.005885237861698</c:v>
                </c:pt>
                <c:pt idx="57">
                  <c:v>13.99390243902439</c:v>
                </c:pt>
                <c:pt idx="58">
                  <c:v>13.969335604770016</c:v>
                </c:pt>
                <c:pt idx="59">
                  <c:v>13.965822038892162</c:v>
                </c:pt>
                <c:pt idx="60">
                  <c:v>11.843393148450245</c:v>
                </c:pt>
                <c:pt idx="61">
                  <c:v>9.9640933572710964</c:v>
                </c:pt>
                <c:pt idx="62">
                  <c:v>9.9933199732798919</c:v>
                </c:pt>
                <c:pt idx="63">
                  <c:v>9.9903753609239647</c:v>
                </c:pt>
                <c:pt idx="64">
                  <c:v>9.9970700263697623</c:v>
                </c:pt>
                <c:pt idx="65">
                  <c:v>10.016518004625041</c:v>
                </c:pt>
                <c:pt idx="66">
                  <c:v>10</c:v>
                </c:pt>
                <c:pt idx="67">
                  <c:v>10.397753860552177</c:v>
                </c:pt>
                <c:pt idx="68">
                  <c:v>11.541593160537387</c:v>
                </c:pt>
                <c:pt idx="69">
                  <c:v>11.135623869801085</c:v>
                </c:pt>
              </c:numCache>
            </c:numRef>
          </c:val>
          <c:smooth val="0"/>
        </c:ser>
        <c:ser>
          <c:idx val="23"/>
          <c:order val="17"/>
          <c:tx>
            <c:strRef>
              <c:f>'Rice (Adjusted)'!$X$6</c:f>
              <c:strCache>
                <c:ptCount val="1"/>
                <c:pt idx="0">
                  <c:v>Trebizond (Persia),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(Adjusted)'!$X$7:$X$107</c:f>
              <c:numCache>
                <c:formatCode>0.0000</c:formatCode>
                <c:ptCount val="92"/>
                <c:pt idx="43">
                  <c:v>40</c:v>
                </c:pt>
                <c:pt idx="44">
                  <c:v>40</c:v>
                </c:pt>
              </c:numCache>
            </c:numRef>
          </c:val>
          <c:smooth val="0"/>
        </c:ser>
        <c:ser>
          <c:idx val="25"/>
          <c:order val="18"/>
          <c:tx>
            <c:strRef>
              <c:f>'Rice (Adjusted)'!$Z$6</c:f>
              <c:strCache>
                <c:ptCount val="1"/>
                <c:pt idx="0">
                  <c:v>Izmir,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(Adjusted)'!$Z$7:$Z$107</c:f>
              <c:numCache>
                <c:formatCode>0.0000</c:formatCode>
                <c:ptCount val="92"/>
                <c:pt idx="42">
                  <c:v>20</c:v>
                </c:pt>
                <c:pt idx="43">
                  <c:v>20.007376263185073</c:v>
                </c:pt>
                <c:pt idx="44">
                  <c:v>23.196855635786346</c:v>
                </c:pt>
                <c:pt idx="45">
                  <c:v>20.000154618054751</c:v>
                </c:pt>
                <c:pt idx="46">
                  <c:v>18.000000000000004</c:v>
                </c:pt>
                <c:pt idx="48">
                  <c:v>16</c:v>
                </c:pt>
                <c:pt idx="50">
                  <c:v>15.999940062784233</c:v>
                </c:pt>
                <c:pt idx="51">
                  <c:v>16</c:v>
                </c:pt>
                <c:pt idx="52">
                  <c:v>13.333333333333332</c:v>
                </c:pt>
                <c:pt idx="54">
                  <c:v>15.999858639761101</c:v>
                </c:pt>
                <c:pt idx="65">
                  <c:v>7.7540084388185653</c:v>
                </c:pt>
                <c:pt idx="66">
                  <c:v>10.599746789654549</c:v>
                </c:pt>
                <c:pt idx="67">
                  <c:v>11.286415042921378</c:v>
                </c:pt>
                <c:pt idx="68">
                  <c:v>12.933288500336248</c:v>
                </c:pt>
                <c:pt idx="70">
                  <c:v>12.380202179335697</c:v>
                </c:pt>
              </c:numCache>
            </c:numRef>
          </c:val>
          <c:smooth val="0"/>
        </c:ser>
        <c:ser>
          <c:idx val="26"/>
          <c:order val="19"/>
          <c:tx>
            <c:strRef>
              <c:f>'Rice (Adjusted)'!$AA$6</c:f>
              <c:strCache>
                <c:ptCount val="1"/>
                <c:pt idx="0">
                  <c:v>Alexandretta,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(Adjusted)'!$AA$7:$AA$107</c:f>
              <c:numCache>
                <c:formatCode>0.0000</c:formatCode>
                <c:ptCount val="92"/>
                <c:pt idx="38" formatCode="_(* #,##0.0000_);_(* \(#,##0.0000\);_(* &quot;-&quot;??_);_(@_)">
                  <c:v>17.678571428571427</c:v>
                </c:pt>
                <c:pt idx="39" formatCode="_(* #,##0.0000_);_(* \(#,##0.0000\);_(* &quot;-&quot;??_);_(@_)">
                  <c:v>21.698924731182796</c:v>
                </c:pt>
                <c:pt idx="40" formatCode="_(* #,##0.0000_);_(* \(#,##0.0000\);_(* &quot;-&quot;??_);_(@_)">
                  <c:v>22.571428571428573</c:v>
                </c:pt>
                <c:pt idx="41" formatCode="_(* #,##0.0000_);_(* \(#,##0.0000\);_(* &quot;-&quot;??_);_(@_)">
                  <c:v>22.671703296703299</c:v>
                </c:pt>
                <c:pt idx="42" formatCode="_(* #,##0.0000_);_(* \(#,##0.0000\);_(* &quot;-&quot;??_);_(@_)">
                  <c:v>20.405953991880917</c:v>
                </c:pt>
                <c:pt idx="43" formatCode="_(* #,##0.0000_);_(* \(#,##0.0000\);_(* &quot;-&quot;??_);_(@_)">
                  <c:v>18.319008264462813</c:v>
                </c:pt>
                <c:pt idx="47" formatCode="_(* #,##0.0000_);_(* \(#,##0.0000\);_(* &quot;-&quot;??_);_(@_)">
                  <c:v>22.542271562766867</c:v>
                </c:pt>
                <c:pt idx="48" formatCode="_(* #,##0.0000_);_(* \(#,##0.0000\);_(* &quot;-&quot;??_);_(@_)">
                  <c:v>22.567357512953368</c:v>
                </c:pt>
                <c:pt idx="49" formatCode="_(* #,##0.0000_);_(* \(#,##0.0000\);_(* &quot;-&quot;??_);_(@_)">
                  <c:v>19.961928934010153</c:v>
                </c:pt>
                <c:pt idx="50" formatCode="_(* #,##0.0000_);_(* \(#,##0.0000\);_(* &quot;-&quot;??_);_(@_)">
                  <c:v>15.807807807807794</c:v>
                </c:pt>
                <c:pt idx="51" formatCode="_(* #,##0.0000_);_(* \(#,##0.0000\);_(* &quot;-&quot;??_);_(@_)">
                  <c:v>13.159999999999988</c:v>
                </c:pt>
                <c:pt idx="52" formatCode="_(* #,##0.0000_);_(* \(#,##0.0000\);_(* &quot;-&quot;??_);_(@_)">
                  <c:v>10.49374999999999</c:v>
                </c:pt>
                <c:pt idx="53" formatCode="_(* #,##0.0000_);_(* \(#,##0.0000\);_(* &quot;-&quot;??_);_(@_)">
                  <c:v>10.446985446985437</c:v>
                </c:pt>
                <c:pt idx="54" formatCode="_(* #,##0.0000_);_(* \(#,##0.0000\);_(* &quot;-&quot;??_);_(@_)">
                  <c:v>10.411371237458184</c:v>
                </c:pt>
                <c:pt idx="55" formatCode="_(* #,##0.0000_);_(* \(#,##0.0000\);_(* &quot;-&quot;??_);_(@_)">
                  <c:v>10.404896421845566</c:v>
                </c:pt>
                <c:pt idx="56" formatCode="_(* #,##0.0000_);_(* \(#,##0.0000\);_(* &quot;-&quot;??_);_(@_)">
                  <c:v>10.446153846153836</c:v>
                </c:pt>
                <c:pt idx="57" formatCode="_(* #,##0.0000_);_(* \(#,##0.0000\);_(* &quot;-&quot;??_);_(@_)">
                  <c:v>10.475330926594456</c:v>
                </c:pt>
                <c:pt idx="58" formatCode="_(* #,##0.0000_);_(* \(#,##0.0000\);_(* &quot;-&quot;??_);_(@_)">
                  <c:v>10.459183673469377</c:v>
                </c:pt>
                <c:pt idx="59" formatCode="_(* #,##0.0000_);_(* \(#,##0.0000\);_(* &quot;-&quot;??_);_(@_)">
                  <c:v>10.633898305084735</c:v>
                </c:pt>
                <c:pt idx="60" formatCode="_(* #,##0.0000_);_(* \(#,##0.0000\);_(* &quot;-&quot;??_);_(@_)">
                  <c:v>10.006433823529402</c:v>
                </c:pt>
                <c:pt idx="61" formatCode="_(* #,##0.0000_);_(* \(#,##0.0000\);_(* &quot;-&quot;??_);_(@_)">
                  <c:v>10.337423312883427</c:v>
                </c:pt>
                <c:pt idx="62" formatCode="_(* #,##0.0000_);_(* \(#,##0.0000\);_(* &quot;-&quot;??_);_(@_)">
                  <c:v>10.239591516103683</c:v>
                </c:pt>
                <c:pt idx="63" formatCode="_(* #,##0.0000_);_(* \(#,##0.0000\);_(* &quot;-&quot;??_);_(@_)">
                  <c:v>10.262308313155762</c:v>
                </c:pt>
                <c:pt idx="64" formatCode="_(* #,##0.0000_);_(* \(#,##0.0000\);_(* &quot;-&quot;??_);_(@_)">
                  <c:v>10.380132450331118</c:v>
                </c:pt>
                <c:pt idx="65" formatCode="_(* #,##0.0000_);_(* \(#,##0.0000\);_(* &quot;-&quot;??_);_(@_)">
                  <c:v>8.4763670064874805</c:v>
                </c:pt>
                <c:pt idx="66" formatCode="_(* #,##0.0000_);_(* \(#,##0.0000\);_(* &quot;-&quot;??_);_(@_)">
                  <c:v>10.306122448979583</c:v>
                </c:pt>
                <c:pt idx="67" formatCode="_(* #,##0.0000_);_(* \(#,##0.0000\);_(* &quot;-&quot;??_);_(@_)">
                  <c:v>10.281288723667895</c:v>
                </c:pt>
                <c:pt idx="68" formatCode="_(* #,##0.0000_);_(* \(#,##0.0000\);_(* &quot;-&quot;??_);_(@_)">
                  <c:v>10.361702127659566</c:v>
                </c:pt>
                <c:pt idx="69" formatCode="_(* #,##0.0000_);_(* \(#,##0.0000\);_(* &quot;-&quot;??_);_(@_)">
                  <c:v>10.229793977812987</c:v>
                </c:pt>
                <c:pt idx="70" formatCode="_(* #,##0.0000_);_(* \(#,##0.0000\);_(* &quot;-&quot;??_);_(@_)">
                  <c:v>10.165228113440186</c:v>
                </c:pt>
                <c:pt idx="71" formatCode="_(* #,##0.0000_);_(* \(#,##0.0000\);_(* &quot;-&quot;??_);_(@_)">
                  <c:v>10.001851851851853</c:v>
                </c:pt>
                <c:pt idx="72" formatCode="_(* #,##0.0000_);_(* \(#,##0.0000\);_(* &quot;-&quot;??_);_(@_)">
                  <c:v>9.9773684210526312</c:v>
                </c:pt>
                <c:pt idx="73" formatCode="_(* #,##0.0000_);_(* \(#,##0.0000\);_(* &quot;-&quot;??_);_(@_)">
                  <c:v>10.033946488294315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636816"/>
        <c:axId val="293637376"/>
      </c:lineChart>
      <c:catAx>
        <c:axId val="29363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637376"/>
        <c:crosses val="autoZero"/>
        <c:auto val="1"/>
        <c:lblAlgn val="ctr"/>
        <c:lblOffset val="100"/>
        <c:noMultiLvlLbl val="0"/>
      </c:catAx>
      <c:valAx>
        <c:axId val="293637376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158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636816"/>
        <c:crosses val="autoZero"/>
        <c:crossBetween val="between"/>
      </c:valAx>
      <c:spPr>
        <a:noFill/>
        <a:ln w="15875">
          <a:noFill/>
        </a:ln>
        <a:effectLst/>
      </c:spPr>
    </c:plotArea>
    <c:legend>
      <c:legendPos val="r"/>
      <c:layout>
        <c:manualLayout>
          <c:xMode val="edge"/>
          <c:yMode val="edge"/>
          <c:x val="0.77935487020616745"/>
          <c:y val="0.15166497592708886"/>
          <c:w val="0.21433995955423604"/>
          <c:h val="0.79148068531310878"/>
        </c:manualLayout>
      </c:layout>
      <c:overlay val="0"/>
      <c:spPr>
        <a:noFill/>
        <a:ln w="1587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Mosul,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(All)'!$L$7:$L$107</c:f>
              <c:numCache>
                <c:formatCode>0.0000</c:formatCode>
                <c:ptCount val="101"/>
                <c:pt idx="44">
                  <c:v>10.909090909090899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(All)'!$L$7:$L$107</c:f>
              <c:numCache>
                <c:formatCode>0.0000</c:formatCode>
                <c:ptCount val="101"/>
                <c:pt idx="44">
                  <c:v>10.909090909090899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56656"/>
        <c:axId val="622156096"/>
      </c:scatterChart>
      <c:valAx>
        <c:axId val="6221566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56096"/>
        <c:crosses val="autoZero"/>
        <c:crossBetween val="midCat"/>
        <c:majorUnit val="5"/>
      </c:valAx>
      <c:valAx>
        <c:axId val="62215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566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Rice, UK, Black Sea, Mediterranean Sea, Persian Gulf, in pound/ton</a:t>
            </a:r>
          </a:p>
        </c:rich>
      </c:tx>
      <c:layout>
        <c:manualLayout>
          <c:xMode val="edge"/>
          <c:yMode val="edge"/>
          <c:x val="0.38933599643138178"/>
          <c:y val="2.3148104227935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'Rice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(Adjusted)'!$C$7:$C$107</c:f>
              <c:numCache>
                <c:formatCode>_(* #,##0.0000_);_(* \(#,##0.0000\);_(* "-"??_);_(@_)</c:formatCode>
                <c:ptCount val="92"/>
                <c:pt idx="14">
                  <c:v>14.103197323697373</c:v>
                </c:pt>
                <c:pt idx="15">
                  <c:v>14.615357807625735</c:v>
                </c:pt>
                <c:pt idx="16">
                  <c:v>10.76402200324431</c:v>
                </c:pt>
                <c:pt idx="17">
                  <c:v>11.443868777449964</c:v>
                </c:pt>
                <c:pt idx="18">
                  <c:v>9.0114227349071232</c:v>
                </c:pt>
                <c:pt idx="19">
                  <c:v>11.128935267555438</c:v>
                </c:pt>
                <c:pt idx="20">
                  <c:v>13.369819123129771</c:v>
                </c:pt>
                <c:pt idx="21">
                  <c:v>12.898024026982984</c:v>
                </c:pt>
                <c:pt idx="22">
                  <c:v>12.259460966998478</c:v>
                </c:pt>
                <c:pt idx="23">
                  <c:v>12.159438326708802</c:v>
                </c:pt>
                <c:pt idx="24">
                  <c:v>11.350700359198783</c:v>
                </c:pt>
                <c:pt idx="25">
                  <c:v>13.73</c:v>
                </c:pt>
                <c:pt idx="26">
                  <c:v>13.58</c:v>
                </c:pt>
                <c:pt idx="27">
                  <c:v>14.64</c:v>
                </c:pt>
                <c:pt idx="28">
                  <c:v>12.29</c:v>
                </c:pt>
                <c:pt idx="29">
                  <c:v>10.67</c:v>
                </c:pt>
                <c:pt idx="30">
                  <c:v>10.58</c:v>
                </c:pt>
                <c:pt idx="31">
                  <c:v>10.19</c:v>
                </c:pt>
                <c:pt idx="32">
                  <c:v>10</c:v>
                </c:pt>
                <c:pt idx="33">
                  <c:v>9.92</c:v>
                </c:pt>
                <c:pt idx="34">
                  <c:v>10.33</c:v>
                </c:pt>
                <c:pt idx="35">
                  <c:v>8.9499999999999993</c:v>
                </c:pt>
                <c:pt idx="36">
                  <c:v>9.06</c:v>
                </c:pt>
                <c:pt idx="37">
                  <c:v>10.55</c:v>
                </c:pt>
                <c:pt idx="38">
                  <c:v>10.48</c:v>
                </c:pt>
                <c:pt idx="39">
                  <c:v>10.15</c:v>
                </c:pt>
                <c:pt idx="40">
                  <c:v>9.52</c:v>
                </c:pt>
                <c:pt idx="41">
                  <c:v>8.64</c:v>
                </c:pt>
                <c:pt idx="42">
                  <c:v>7.98</c:v>
                </c:pt>
                <c:pt idx="43">
                  <c:v>8.1999999999999993</c:v>
                </c:pt>
                <c:pt idx="44">
                  <c:v>8.14</c:v>
                </c:pt>
                <c:pt idx="45">
                  <c:v>7.82</c:v>
                </c:pt>
                <c:pt idx="46">
                  <c:v>7.48</c:v>
                </c:pt>
                <c:pt idx="47">
                  <c:v>7.47</c:v>
                </c:pt>
                <c:pt idx="48">
                  <c:v>7.46</c:v>
                </c:pt>
                <c:pt idx="49">
                  <c:v>8.17</c:v>
                </c:pt>
                <c:pt idx="50">
                  <c:v>8.56</c:v>
                </c:pt>
                <c:pt idx="51">
                  <c:v>9.0299999999999994</c:v>
                </c:pt>
                <c:pt idx="52">
                  <c:v>8.89</c:v>
                </c:pt>
                <c:pt idx="53">
                  <c:v>7.85</c:v>
                </c:pt>
                <c:pt idx="54">
                  <c:v>7.62</c:v>
                </c:pt>
                <c:pt idx="55">
                  <c:v>7.3</c:v>
                </c:pt>
                <c:pt idx="56">
                  <c:v>7.45</c:v>
                </c:pt>
                <c:pt idx="57">
                  <c:v>8.17</c:v>
                </c:pt>
                <c:pt idx="58">
                  <c:v>8.82</c:v>
                </c:pt>
                <c:pt idx="59">
                  <c:v>8.7100000000000009</c:v>
                </c:pt>
                <c:pt idx="63">
                  <c:v>8.7200000000000006</c:v>
                </c:pt>
                <c:pt idx="64">
                  <c:v>7.83</c:v>
                </c:pt>
                <c:pt idx="65">
                  <c:v>8.27</c:v>
                </c:pt>
                <c:pt idx="66">
                  <c:v>8.68</c:v>
                </c:pt>
                <c:pt idx="67">
                  <c:v>9.68</c:v>
                </c:pt>
                <c:pt idx="68">
                  <c:v>9.15</c:v>
                </c:pt>
                <c:pt idx="69">
                  <c:v>8.83</c:v>
                </c:pt>
                <c:pt idx="70">
                  <c:v>8.59</c:v>
                </c:pt>
                <c:pt idx="71">
                  <c:v>9.27</c:v>
                </c:pt>
                <c:pt idx="72">
                  <c:v>11.3</c:v>
                </c:pt>
                <c:pt idx="73">
                  <c:v>10.56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'Rice (Adjusted)'!$D$6</c:f>
              <c:strCache>
                <c:ptCount val="1"/>
                <c:pt idx="0">
                  <c:v>UK, Foreign and Colonial Exports,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(Adjusted)'!$D$7:$D$107</c:f>
              <c:numCache>
                <c:formatCode>_(* #,##0.0000_);_(* \(#,##0.0000\);_(* "-"??_);_(@_)</c:formatCode>
                <c:ptCount val="92"/>
                <c:pt idx="14">
                  <c:v>14.083332297480391</c:v>
                </c:pt>
                <c:pt idx="15">
                  <c:v>14.583347696844182</c:v>
                </c:pt>
                <c:pt idx="16">
                  <c:v>10.749996103844911</c:v>
                </c:pt>
                <c:pt idx="17">
                  <c:v>11.416666201915149</c:v>
                </c:pt>
                <c:pt idx="18">
                  <c:v>9.0003851084722193</c:v>
                </c:pt>
                <c:pt idx="19">
                  <c:v>11.166668831028288</c:v>
                </c:pt>
                <c:pt idx="20">
                  <c:v>13.416668797790452</c:v>
                </c:pt>
                <c:pt idx="21">
                  <c:v>12.916661827860839</c:v>
                </c:pt>
                <c:pt idx="22">
                  <c:v>12.249999803466691</c:v>
                </c:pt>
                <c:pt idx="23">
                  <c:v>12.166663554019983</c:v>
                </c:pt>
                <c:pt idx="24">
                  <c:v>11.33333928810683</c:v>
                </c:pt>
                <c:pt idx="25">
                  <c:v>13.749998209546128</c:v>
                </c:pt>
                <c:pt idx="26">
                  <c:v>13.583331600763561</c:v>
                </c:pt>
                <c:pt idx="27">
                  <c:v>14.666666666666666</c:v>
                </c:pt>
                <c:pt idx="28">
                  <c:v>12.333336599034006</c:v>
                </c:pt>
                <c:pt idx="29">
                  <c:v>10.666660826449178</c:v>
                </c:pt>
                <c:pt idx="30">
                  <c:v>10.583330332385035</c:v>
                </c:pt>
                <c:pt idx="31">
                  <c:v>12.308464509066583</c:v>
                </c:pt>
                <c:pt idx="32">
                  <c:v>12.607540507999966</c:v>
                </c:pt>
                <c:pt idx="33">
                  <c:v>11.740083761545105</c:v>
                </c:pt>
                <c:pt idx="34">
                  <c:v>12.304800755710003</c:v>
                </c:pt>
                <c:pt idx="35">
                  <c:v>11.003075858577642</c:v>
                </c:pt>
                <c:pt idx="36">
                  <c:v>10.740606916430709</c:v>
                </c:pt>
                <c:pt idx="37">
                  <c:v>12.572755452258406</c:v>
                </c:pt>
                <c:pt idx="38">
                  <c:v>12.646175552901486</c:v>
                </c:pt>
                <c:pt idx="39">
                  <c:v>12.111918445967746</c:v>
                </c:pt>
                <c:pt idx="40">
                  <c:v>11.634829111836106</c:v>
                </c:pt>
                <c:pt idx="41">
                  <c:v>10.288512958339531</c:v>
                </c:pt>
                <c:pt idx="42">
                  <c:v>9.5062068139602491</c:v>
                </c:pt>
                <c:pt idx="43">
                  <c:v>9.5958721210596725</c:v>
                </c:pt>
                <c:pt idx="44">
                  <c:v>9.7721508526520022</c:v>
                </c:pt>
                <c:pt idx="45">
                  <c:v>9.3573422499581032</c:v>
                </c:pt>
                <c:pt idx="46">
                  <c:v>8.9676127712744922</c:v>
                </c:pt>
                <c:pt idx="47">
                  <c:v>8.7418012930277929</c:v>
                </c:pt>
                <c:pt idx="48">
                  <c:v>8.6611977300167062</c:v>
                </c:pt>
                <c:pt idx="49">
                  <c:v>9.3321192957478338</c:v>
                </c:pt>
                <c:pt idx="50">
                  <c:v>9.4521901011252414</c:v>
                </c:pt>
                <c:pt idx="51">
                  <c:v>9.3965995453857776</c:v>
                </c:pt>
                <c:pt idx="52">
                  <c:v>9.4978037904675379</c:v>
                </c:pt>
                <c:pt idx="53">
                  <c:v>8.3867810398369187</c:v>
                </c:pt>
                <c:pt idx="54">
                  <c:v>7.809083358995176</c:v>
                </c:pt>
                <c:pt idx="55">
                  <c:v>7.2604343093216919</c:v>
                </c:pt>
                <c:pt idx="56">
                  <c:v>7.6481463236529912</c:v>
                </c:pt>
                <c:pt idx="57">
                  <c:v>8.9566427212584117</c:v>
                </c:pt>
                <c:pt idx="58">
                  <c:v>9.4003178271388634</c:v>
                </c:pt>
                <c:pt idx="59">
                  <c:v>8.9073878527984593</c:v>
                </c:pt>
                <c:pt idx="63">
                  <c:v>9.4880053938202362</c:v>
                </c:pt>
                <c:pt idx="64">
                  <c:v>8.2194860417162161</c:v>
                </c:pt>
                <c:pt idx="65">
                  <c:v>8.8014826096277119</c:v>
                </c:pt>
                <c:pt idx="66">
                  <c:v>9.8068788451468585</c:v>
                </c:pt>
                <c:pt idx="67">
                  <c:v>10.772960587892795</c:v>
                </c:pt>
                <c:pt idx="68">
                  <c:v>10.139318228440866</c:v>
                </c:pt>
                <c:pt idx="69">
                  <c:v>9.9958562243520337</c:v>
                </c:pt>
                <c:pt idx="70">
                  <c:v>9.2642174317075643</c:v>
                </c:pt>
                <c:pt idx="71">
                  <c:v>9.7612240425888448</c:v>
                </c:pt>
                <c:pt idx="72">
                  <c:v>12.473587498789112</c:v>
                </c:pt>
                <c:pt idx="73">
                  <c:v>11.782113793657098</c:v>
                </c:pt>
                <c:pt idx="74">
                  <c:v>10.796807864392488</c:v>
                </c:pt>
                <c:pt idx="75">
                  <c:v>11.850360161990087</c:v>
                </c:pt>
                <c:pt idx="76">
                  <c:v>16.720349164565679</c:v>
                </c:pt>
                <c:pt idx="77">
                  <c:v>20.354333570002964</c:v>
                </c:pt>
                <c:pt idx="78">
                  <c:v>32.643729189789127</c:v>
                </c:pt>
                <c:pt idx="79">
                  <c:v>27.625954141957074</c:v>
                </c:pt>
                <c:pt idx="80">
                  <c:v>43.575690247028042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'Rice (Adjusted)'!$L$6</c:f>
              <c:strCache>
                <c:ptCount val="1"/>
                <c:pt idx="0">
                  <c:v>Egypt, Exports,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(Adjusted)'!$L$7:$L$107</c:f>
              <c:numCache>
                <c:formatCode>0.0000</c:formatCode>
                <c:ptCount val="92"/>
                <c:pt idx="45">
                  <c:v>9.8499170305676849</c:v>
                </c:pt>
                <c:pt idx="46">
                  <c:v>9.1886494158030239</c:v>
                </c:pt>
                <c:pt idx="47">
                  <c:v>9.0157976071784649</c:v>
                </c:pt>
                <c:pt idx="48">
                  <c:v>9.2510610176958661</c:v>
                </c:pt>
                <c:pt idx="49">
                  <c:v>9.3508204323321671</c:v>
                </c:pt>
                <c:pt idx="50">
                  <c:v>10.826181264666708</c:v>
                </c:pt>
                <c:pt idx="51">
                  <c:v>9.1605333792154156</c:v>
                </c:pt>
                <c:pt idx="52">
                  <c:v>9.5057302886686781</c:v>
                </c:pt>
                <c:pt idx="53">
                  <c:v>7.3823674726807713</c:v>
                </c:pt>
                <c:pt idx="54">
                  <c:v>6.3410779205041203</c:v>
                </c:pt>
                <c:pt idx="55">
                  <c:v>6.1156184958091915</c:v>
                </c:pt>
                <c:pt idx="56">
                  <c:v>5.9190115123214202</c:v>
                </c:pt>
                <c:pt idx="57">
                  <c:v>7.1895670826833067</c:v>
                </c:pt>
                <c:pt idx="58">
                  <c:v>7.2772048497331712</c:v>
                </c:pt>
                <c:pt idx="59">
                  <c:v>7.8532104182601339</c:v>
                </c:pt>
                <c:pt idx="60">
                  <c:v>8.0524861060870148</c:v>
                </c:pt>
                <c:pt idx="61">
                  <c:v>7.484460864063629</c:v>
                </c:pt>
                <c:pt idx="62">
                  <c:v>6.9495219533720665</c:v>
                </c:pt>
                <c:pt idx="63">
                  <c:v>8.357512966940849</c:v>
                </c:pt>
                <c:pt idx="64">
                  <c:v>7.5481194971215713</c:v>
                </c:pt>
                <c:pt idx="65">
                  <c:v>7.8418128583329247</c:v>
                </c:pt>
                <c:pt idx="66">
                  <c:v>8.1843705339742758</c:v>
                </c:pt>
                <c:pt idx="67">
                  <c:v>9.0576281755196302</c:v>
                </c:pt>
                <c:pt idx="68">
                  <c:v>8.8749446010197701</c:v>
                </c:pt>
                <c:pt idx="69">
                  <c:v>8.1426815712569702</c:v>
                </c:pt>
                <c:pt idx="70">
                  <c:v>8.0960159362549788</c:v>
                </c:pt>
                <c:pt idx="71">
                  <c:v>8.7918264733395688</c:v>
                </c:pt>
                <c:pt idx="72">
                  <c:v>10.798970648185893</c:v>
                </c:pt>
                <c:pt idx="73">
                  <c:v>9.4288302553810457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'Rice (Adjusted)'!$N$6</c:f>
              <c:strCache>
                <c:ptCount val="1"/>
                <c:pt idx="0">
                  <c:v>Palestine, Imports, in pound/ton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(Adjusted)'!$N$7:$N$107</c:f>
              <c:numCache>
                <c:formatCode>0.0000</c:formatCode>
                <c:ptCount val="92"/>
                <c:pt idx="33">
                  <c:v>18.82109374081001</c:v>
                </c:pt>
                <c:pt idx="34">
                  <c:v>16.933690934114416</c:v>
                </c:pt>
                <c:pt idx="35">
                  <c:v>16.503803127740028</c:v>
                </c:pt>
                <c:pt idx="36">
                  <c:v>18.4000090406903</c:v>
                </c:pt>
                <c:pt idx="37">
                  <c:v>19.147536156170954</c:v>
                </c:pt>
                <c:pt idx="39">
                  <c:v>20.200702379800049</c:v>
                </c:pt>
                <c:pt idx="40">
                  <c:v>17.188880090750949</c:v>
                </c:pt>
                <c:pt idx="41">
                  <c:v>16.115297648731701</c:v>
                </c:pt>
                <c:pt idx="42">
                  <c:v>14.269516885032035</c:v>
                </c:pt>
                <c:pt idx="43">
                  <c:v>16.065143689245684</c:v>
                </c:pt>
                <c:pt idx="44">
                  <c:v>14.153271525240692</c:v>
                </c:pt>
                <c:pt idx="45">
                  <c:v>14.999999999999996</c:v>
                </c:pt>
                <c:pt idx="46">
                  <c:v>11.749999999999991</c:v>
                </c:pt>
                <c:pt idx="47">
                  <c:v>11.636363636363624</c:v>
                </c:pt>
                <c:pt idx="48">
                  <c:v>20.376470588235307</c:v>
                </c:pt>
                <c:pt idx="49">
                  <c:v>21</c:v>
                </c:pt>
                <c:pt idx="50">
                  <c:v>10.761904761904756</c:v>
                </c:pt>
                <c:pt idx="52">
                  <c:v>12.000000000000005</c:v>
                </c:pt>
                <c:pt idx="53">
                  <c:v>12.000000000000005</c:v>
                </c:pt>
                <c:pt idx="54">
                  <c:v>11.833333333333345</c:v>
                </c:pt>
                <c:pt idx="55">
                  <c:v>9.9999999999999893</c:v>
                </c:pt>
                <c:pt idx="56">
                  <c:v>9.9999999999999893</c:v>
                </c:pt>
                <c:pt idx="57">
                  <c:v>9.9999999999999893</c:v>
                </c:pt>
                <c:pt idx="58">
                  <c:v>15.434782608695654</c:v>
                </c:pt>
                <c:pt idx="59">
                  <c:v>10.833333333333323</c:v>
                </c:pt>
                <c:pt idx="60">
                  <c:v>10.47126436781609</c:v>
                </c:pt>
                <c:pt idx="61">
                  <c:v>9.0781843631273755</c:v>
                </c:pt>
                <c:pt idx="62">
                  <c:v>9.4601287766220938</c:v>
                </c:pt>
                <c:pt idx="63">
                  <c:v>10.315265486725673</c:v>
                </c:pt>
                <c:pt idx="64">
                  <c:v>10.264550264550266</c:v>
                </c:pt>
                <c:pt idx="65">
                  <c:v>11.766467065868255</c:v>
                </c:pt>
                <c:pt idx="66">
                  <c:v>12.621195717550828</c:v>
                </c:pt>
                <c:pt idx="67">
                  <c:v>12.762706579357662</c:v>
                </c:pt>
                <c:pt idx="69">
                  <c:v>12.969326431036528</c:v>
                </c:pt>
                <c:pt idx="70">
                  <c:v>11.633117402431214</c:v>
                </c:pt>
                <c:pt idx="71">
                  <c:v>15.425945816923264</c:v>
                </c:pt>
                <c:pt idx="72">
                  <c:v>15.999999999999993</c:v>
                </c:pt>
                <c:pt idx="73">
                  <c:v>12.368935293152749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'Rice (Adjusted)'!$O$6</c:f>
              <c:strCache>
                <c:ptCount val="1"/>
                <c:pt idx="0">
                  <c:v>Palestine,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(Adjusted)'!$O$7:$O$107</c:f>
              <c:numCache>
                <c:formatCode>0.0000</c:formatCode>
                <c:ptCount val="92"/>
                <c:pt idx="18">
                  <c:v>20.159684863806209</c:v>
                </c:pt>
                <c:pt idx="40">
                  <c:v>19.472422879812804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'Rice (Adjusted)'!$Q$6</c:f>
              <c:strCache>
                <c:ptCount val="1"/>
                <c:pt idx="0">
                  <c:v>Damascus,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(Adjusted)'!$Q$7:$Q$107</c:f>
              <c:numCache>
                <c:formatCode>0.0000</c:formatCode>
                <c:ptCount val="92"/>
                <c:pt idx="42" formatCode="_(* #,##0.0000_);_(* \(#,##0.0000\);_(* &quot;-&quot;??_);_(@_)">
                  <c:v>14.227131471408619</c:v>
                </c:pt>
                <c:pt idx="47" formatCode="_(* #,##0.0000_);_(* \(#,##0.0000\);_(* &quot;-&quot;??_);_(@_)">
                  <c:v>14.546115307738233</c:v>
                </c:pt>
                <c:pt idx="48" formatCode="_(* #,##0.0000_);_(* \(#,##0.0000\);_(* &quot;-&quot;??_);_(@_)">
                  <c:v>29.014177382129905</c:v>
                </c:pt>
                <c:pt idx="49" formatCode="_(* #,##0.0000_);_(* \(#,##0.0000\);_(* &quot;-&quot;??_);_(@_)">
                  <c:v>15.263140484932686</c:v>
                </c:pt>
                <c:pt idx="50" formatCode="_(* #,##0.0000_);_(* \(#,##0.0000\);_(* &quot;-&quot;??_);_(@_)">
                  <c:v>19.012410879324001</c:v>
                </c:pt>
                <c:pt idx="51" formatCode="_(* #,##0.0000_);_(* \(#,##0.0000\);_(* &quot;-&quot;??_);_(@_)">
                  <c:v>16.377649325626205</c:v>
                </c:pt>
                <c:pt idx="52" formatCode="_(* #,##0.0000_);_(* \(#,##0.0000\);_(* &quot;-&quot;??_);_(@_)">
                  <c:v>17.066666666666666</c:v>
                </c:pt>
                <c:pt idx="53" formatCode="_(* #,##0.0000_);_(* \(#,##0.0000\);_(* &quot;-&quot;??_);_(@_)">
                  <c:v>19.106759016001909</c:v>
                </c:pt>
                <c:pt idx="54" formatCode="_(* #,##0.0000_);_(* \(#,##0.0000\);_(* &quot;-&quot;??_);_(@_)">
                  <c:v>16.279069767441861</c:v>
                </c:pt>
                <c:pt idx="58" formatCode="_(* #,##0.0000_);_(* \(#,##0.0000\);_(* &quot;-&quot;??_);_(@_)">
                  <c:v>16</c:v>
                </c:pt>
                <c:pt idx="61" formatCode="_(* #,##0.0000_);_(* \(#,##0.0000\);_(* &quot;-&quot;??_);_(@_)">
                  <c:v>15.925925925925926</c:v>
                </c:pt>
                <c:pt idx="62" formatCode="_(* #,##0.0000_);_(* \(#,##0.0000\);_(* &quot;-&quot;??_);_(@_)">
                  <c:v>16.279069767441861</c:v>
                </c:pt>
                <c:pt idx="63" formatCode="_(* #,##0.0000_);_(* \(#,##0.0000\);_(* &quot;-&quot;??_);_(@_)">
                  <c:v>16.5</c:v>
                </c:pt>
                <c:pt idx="64" formatCode="_(* #,##0.0000_);_(* \(#,##0.0000\);_(* &quot;-&quot;??_);_(@_)">
                  <c:v>14.761904761904763</c:v>
                </c:pt>
                <c:pt idx="68" formatCode="_(* #,##0.0000_);_(* \(#,##0.0000\);_(* &quot;-&quot;??_);_(@_)">
                  <c:v>20</c:v>
                </c:pt>
                <c:pt idx="69" formatCode="_(* #,##0.0000_);_(* \(#,##0.0000\);_(* &quot;-&quot;??_);_(@_)">
                  <c:v>20</c:v>
                </c:pt>
                <c:pt idx="70" formatCode="_(* #,##0.0000_);_(* \(#,##0.0000\);_(* &quot;-&quot;??_);_(@_)">
                  <c:v>20</c:v>
                </c:pt>
                <c:pt idx="71" formatCode="_(* #,##0.0000_);_(* \(#,##0.0000\);_(* &quot;-&quot;??_);_(@_)">
                  <c:v>20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'Rice (Adjusted)'!$R$6</c:f>
              <c:strCache>
                <c:ptCount val="1"/>
                <c:pt idx="0">
                  <c:v>Beirut,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(Adjusted)'!$R$7:$R$107</c:f>
              <c:numCache>
                <c:formatCode>0.0000</c:formatCode>
                <c:ptCount val="92"/>
                <c:pt idx="31">
                  <c:v>15.65625</c:v>
                </c:pt>
                <c:pt idx="32">
                  <c:v>16.78125</c:v>
                </c:pt>
                <c:pt idx="33">
                  <c:v>18.291666666666664</c:v>
                </c:pt>
                <c:pt idx="36">
                  <c:v>11</c:v>
                </c:pt>
                <c:pt idx="38">
                  <c:v>16.48544423440454</c:v>
                </c:pt>
                <c:pt idx="39">
                  <c:v>13.999321573948439</c:v>
                </c:pt>
                <c:pt idx="41">
                  <c:v>11.87648456057007</c:v>
                </c:pt>
                <c:pt idx="42">
                  <c:v>12.022194821208386</c:v>
                </c:pt>
                <c:pt idx="43">
                  <c:v>11.750096824167313</c:v>
                </c:pt>
                <c:pt idx="44">
                  <c:v>10</c:v>
                </c:pt>
                <c:pt idx="45">
                  <c:v>10</c:v>
                </c:pt>
                <c:pt idx="46">
                  <c:v>9.25</c:v>
                </c:pt>
                <c:pt idx="47">
                  <c:v>8.25</c:v>
                </c:pt>
                <c:pt idx="48">
                  <c:v>9.3333333333333339</c:v>
                </c:pt>
                <c:pt idx="49">
                  <c:v>8.5</c:v>
                </c:pt>
                <c:pt idx="50">
                  <c:v>8.75</c:v>
                </c:pt>
                <c:pt idx="51">
                  <c:v>8.5</c:v>
                </c:pt>
                <c:pt idx="52">
                  <c:v>9</c:v>
                </c:pt>
                <c:pt idx="53">
                  <c:v>9.5</c:v>
                </c:pt>
                <c:pt idx="54">
                  <c:v>7.25</c:v>
                </c:pt>
                <c:pt idx="55">
                  <c:v>10.120481927710843</c:v>
                </c:pt>
                <c:pt idx="56">
                  <c:v>9</c:v>
                </c:pt>
                <c:pt idx="57">
                  <c:v>9</c:v>
                </c:pt>
                <c:pt idx="58">
                  <c:v>9.25</c:v>
                </c:pt>
                <c:pt idx="59">
                  <c:v>8.5</c:v>
                </c:pt>
                <c:pt idx="60">
                  <c:v>9</c:v>
                </c:pt>
                <c:pt idx="61">
                  <c:v>8</c:v>
                </c:pt>
              </c:numCache>
            </c:numRef>
          </c:val>
          <c:smooth val="0"/>
        </c:ser>
        <c:ser>
          <c:idx val="9"/>
          <c:order val="7"/>
          <c:tx>
            <c:strRef>
              <c:f>'Rice (Adjusted)'!$S$6</c:f>
              <c:strCache>
                <c:ptCount val="1"/>
                <c:pt idx="0">
                  <c:v>Turkey,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(Adjusted)'!$S$7:$S$107</c:f>
              <c:numCache>
                <c:formatCode>0.0000</c:formatCode>
                <c:ptCount val="92"/>
                <c:pt idx="70">
                  <c:v>10.015331440338924</c:v>
                </c:pt>
                <c:pt idx="71">
                  <c:v>10.585101642720639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'Rice (Adjusted)'!$T$6</c:f>
              <c:strCache>
                <c:ptCount val="1"/>
                <c:pt idx="0">
                  <c:v>Turkey,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(Adjusted)'!$T$7:$T$107</c:f>
              <c:numCache>
                <c:formatCode>0.0000</c:formatCode>
                <c:ptCount val="92"/>
                <c:pt idx="71">
                  <c:v>3.4770514603616132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'Rice (Adjusted)'!$U$6</c:f>
              <c:strCache>
                <c:ptCount val="1"/>
                <c:pt idx="0">
                  <c:v>Constantinople,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(Adjusted)'!$U$7:$U$107</c:f>
              <c:numCache>
                <c:formatCode>0.0000</c:formatCode>
                <c:ptCount val="92"/>
                <c:pt idx="57">
                  <c:v>15</c:v>
                </c:pt>
                <c:pt idx="67">
                  <c:v>14.251401120896718</c:v>
                </c:pt>
                <c:pt idx="70">
                  <c:v>9.0243902439024382</c:v>
                </c:pt>
              </c:numCache>
            </c:numRef>
          </c:val>
          <c:smooth val="0"/>
        </c:ser>
        <c:ser>
          <c:idx val="12"/>
          <c:order val="10"/>
          <c:tx>
            <c:strRef>
              <c:f>'Rice (Adjusted)'!$V$6</c:f>
              <c:strCache>
                <c:ptCount val="1"/>
                <c:pt idx="0">
                  <c:v>Constantinople,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(Adjusted)'!$V$7:$V$107</c:f>
              <c:numCache>
                <c:formatCode>0.0000</c:formatCode>
                <c:ptCount val="92"/>
                <c:pt idx="45">
                  <c:v>17.389285705705277</c:v>
                </c:pt>
                <c:pt idx="46">
                  <c:v>13.81818181818182</c:v>
                </c:pt>
              </c:numCache>
            </c:numRef>
          </c:val>
          <c:smooth val="0"/>
        </c:ser>
        <c:ser>
          <c:idx val="13"/>
          <c:order val="11"/>
          <c:tx>
            <c:strRef>
              <c:f>'Rice (Adjusted)'!$W$6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(Adjusted)'!$W$7:$W$107</c:f>
              <c:numCache>
                <c:formatCode>0.0000</c:formatCode>
                <c:ptCount val="92"/>
                <c:pt idx="43">
                  <c:v>15</c:v>
                </c:pt>
                <c:pt idx="44">
                  <c:v>13</c:v>
                </c:pt>
                <c:pt idx="45">
                  <c:v>11.493670886075948</c:v>
                </c:pt>
                <c:pt idx="46">
                  <c:v>13.280106453759149</c:v>
                </c:pt>
                <c:pt idx="47">
                  <c:v>11.994261119081779</c:v>
                </c:pt>
                <c:pt idx="48">
                  <c:v>12.009569377990431</c:v>
                </c:pt>
                <c:pt idx="49">
                  <c:v>12.871287128712872</c:v>
                </c:pt>
                <c:pt idx="50">
                  <c:v>12.79954571266326</c:v>
                </c:pt>
                <c:pt idx="51">
                  <c:v>10.782208588957056</c:v>
                </c:pt>
                <c:pt idx="52">
                  <c:v>12</c:v>
                </c:pt>
                <c:pt idx="53">
                  <c:v>12.006717044500419</c:v>
                </c:pt>
                <c:pt idx="54">
                  <c:v>11.994996873045654</c:v>
                </c:pt>
                <c:pt idx="55">
                  <c:v>12.004479283314671</c:v>
                </c:pt>
                <c:pt idx="56">
                  <c:v>12.005885237861698</c:v>
                </c:pt>
                <c:pt idx="57">
                  <c:v>13.99390243902439</c:v>
                </c:pt>
                <c:pt idx="58">
                  <c:v>13.969335604770016</c:v>
                </c:pt>
                <c:pt idx="59">
                  <c:v>13.965822038892162</c:v>
                </c:pt>
                <c:pt idx="60">
                  <c:v>11.843393148450245</c:v>
                </c:pt>
                <c:pt idx="61">
                  <c:v>9.9640933572710964</c:v>
                </c:pt>
                <c:pt idx="62">
                  <c:v>9.9933199732798919</c:v>
                </c:pt>
                <c:pt idx="63">
                  <c:v>9.9903753609239647</c:v>
                </c:pt>
                <c:pt idx="64">
                  <c:v>9.9970700263697623</c:v>
                </c:pt>
                <c:pt idx="65">
                  <c:v>10.016518004625041</c:v>
                </c:pt>
                <c:pt idx="66">
                  <c:v>10</c:v>
                </c:pt>
                <c:pt idx="67">
                  <c:v>10.397753860552177</c:v>
                </c:pt>
                <c:pt idx="68">
                  <c:v>11.541593160537387</c:v>
                </c:pt>
                <c:pt idx="69">
                  <c:v>11.135623869801085</c:v>
                </c:pt>
              </c:numCache>
            </c:numRef>
          </c:val>
          <c:smooth val="0"/>
        </c:ser>
        <c:ser>
          <c:idx val="14"/>
          <c:order val="12"/>
          <c:tx>
            <c:strRef>
              <c:f>'Rice (Adjusted)'!$X$6</c:f>
              <c:strCache>
                <c:ptCount val="1"/>
                <c:pt idx="0">
                  <c:v>Trebizond (Persia),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(Adjusted)'!$X$7:$X$107</c:f>
              <c:numCache>
                <c:formatCode>0.0000</c:formatCode>
                <c:ptCount val="92"/>
                <c:pt idx="43">
                  <c:v>40</c:v>
                </c:pt>
                <c:pt idx="44">
                  <c:v>40</c:v>
                </c:pt>
              </c:numCache>
            </c:numRef>
          </c:val>
          <c:smooth val="0"/>
        </c:ser>
        <c:ser>
          <c:idx val="15"/>
          <c:order val="13"/>
          <c:tx>
            <c:strRef>
              <c:f>'Rice (Adjusted)'!$Z$6</c:f>
              <c:strCache>
                <c:ptCount val="1"/>
                <c:pt idx="0">
                  <c:v>Izmir,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(Adjusted)'!$Z$7:$Z$107</c:f>
              <c:numCache>
                <c:formatCode>0.0000</c:formatCode>
                <c:ptCount val="92"/>
                <c:pt idx="42">
                  <c:v>20</c:v>
                </c:pt>
                <c:pt idx="43">
                  <c:v>20.007376263185073</c:v>
                </c:pt>
                <c:pt idx="44">
                  <c:v>23.196855635786346</c:v>
                </c:pt>
                <c:pt idx="45">
                  <c:v>20.000154618054751</c:v>
                </c:pt>
                <c:pt idx="46">
                  <c:v>18.000000000000004</c:v>
                </c:pt>
                <c:pt idx="48">
                  <c:v>16</c:v>
                </c:pt>
                <c:pt idx="50">
                  <c:v>15.999940062784233</c:v>
                </c:pt>
                <c:pt idx="51">
                  <c:v>16</c:v>
                </c:pt>
                <c:pt idx="52">
                  <c:v>13.333333333333332</c:v>
                </c:pt>
                <c:pt idx="54">
                  <c:v>15.999858639761101</c:v>
                </c:pt>
                <c:pt idx="65">
                  <c:v>7.7540084388185653</c:v>
                </c:pt>
                <c:pt idx="66">
                  <c:v>10.599746789654549</c:v>
                </c:pt>
                <c:pt idx="67">
                  <c:v>11.286415042921378</c:v>
                </c:pt>
                <c:pt idx="68">
                  <c:v>12.933288500336248</c:v>
                </c:pt>
                <c:pt idx="70">
                  <c:v>12.380202179335697</c:v>
                </c:pt>
              </c:numCache>
            </c:numRef>
          </c:val>
          <c:smooth val="0"/>
        </c:ser>
        <c:ser>
          <c:idx val="16"/>
          <c:order val="14"/>
          <c:tx>
            <c:strRef>
              <c:f>'Rice (Adjusted)'!$AA$6</c:f>
              <c:strCache>
                <c:ptCount val="1"/>
                <c:pt idx="0">
                  <c:v>Alexandretta,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(Adjusted)'!$AA$7:$AA$107</c:f>
              <c:numCache>
                <c:formatCode>0.0000</c:formatCode>
                <c:ptCount val="92"/>
                <c:pt idx="38" formatCode="_(* #,##0.0000_);_(* \(#,##0.0000\);_(* &quot;-&quot;??_);_(@_)">
                  <c:v>17.678571428571427</c:v>
                </c:pt>
                <c:pt idx="39" formatCode="_(* #,##0.0000_);_(* \(#,##0.0000\);_(* &quot;-&quot;??_);_(@_)">
                  <c:v>21.698924731182796</c:v>
                </c:pt>
                <c:pt idx="40" formatCode="_(* #,##0.0000_);_(* \(#,##0.0000\);_(* &quot;-&quot;??_);_(@_)">
                  <c:v>22.571428571428573</c:v>
                </c:pt>
                <c:pt idx="41" formatCode="_(* #,##0.0000_);_(* \(#,##0.0000\);_(* &quot;-&quot;??_);_(@_)">
                  <c:v>22.671703296703299</c:v>
                </c:pt>
                <c:pt idx="42" formatCode="_(* #,##0.0000_);_(* \(#,##0.0000\);_(* &quot;-&quot;??_);_(@_)">
                  <c:v>20.405953991880917</c:v>
                </c:pt>
                <c:pt idx="43" formatCode="_(* #,##0.0000_);_(* \(#,##0.0000\);_(* &quot;-&quot;??_);_(@_)">
                  <c:v>18.319008264462813</c:v>
                </c:pt>
                <c:pt idx="47" formatCode="_(* #,##0.0000_);_(* \(#,##0.0000\);_(* &quot;-&quot;??_);_(@_)">
                  <c:v>22.542271562766867</c:v>
                </c:pt>
                <c:pt idx="48" formatCode="_(* #,##0.0000_);_(* \(#,##0.0000\);_(* &quot;-&quot;??_);_(@_)">
                  <c:v>22.567357512953368</c:v>
                </c:pt>
                <c:pt idx="49" formatCode="_(* #,##0.0000_);_(* \(#,##0.0000\);_(* &quot;-&quot;??_);_(@_)">
                  <c:v>19.961928934010153</c:v>
                </c:pt>
                <c:pt idx="50" formatCode="_(* #,##0.0000_);_(* \(#,##0.0000\);_(* &quot;-&quot;??_);_(@_)">
                  <c:v>15.807807807807794</c:v>
                </c:pt>
                <c:pt idx="51" formatCode="_(* #,##0.0000_);_(* \(#,##0.0000\);_(* &quot;-&quot;??_);_(@_)">
                  <c:v>13.159999999999988</c:v>
                </c:pt>
                <c:pt idx="52" formatCode="_(* #,##0.0000_);_(* \(#,##0.0000\);_(* &quot;-&quot;??_);_(@_)">
                  <c:v>10.49374999999999</c:v>
                </c:pt>
                <c:pt idx="53" formatCode="_(* #,##0.0000_);_(* \(#,##0.0000\);_(* &quot;-&quot;??_);_(@_)">
                  <c:v>10.446985446985437</c:v>
                </c:pt>
                <c:pt idx="54" formatCode="_(* #,##0.0000_);_(* \(#,##0.0000\);_(* &quot;-&quot;??_);_(@_)">
                  <c:v>10.411371237458184</c:v>
                </c:pt>
                <c:pt idx="55" formatCode="_(* #,##0.0000_);_(* \(#,##0.0000\);_(* &quot;-&quot;??_);_(@_)">
                  <c:v>10.404896421845566</c:v>
                </c:pt>
                <c:pt idx="56" formatCode="_(* #,##0.0000_);_(* \(#,##0.0000\);_(* &quot;-&quot;??_);_(@_)">
                  <c:v>10.446153846153836</c:v>
                </c:pt>
                <c:pt idx="57" formatCode="_(* #,##0.0000_);_(* \(#,##0.0000\);_(* &quot;-&quot;??_);_(@_)">
                  <c:v>10.475330926594456</c:v>
                </c:pt>
                <c:pt idx="58" formatCode="_(* #,##0.0000_);_(* \(#,##0.0000\);_(* &quot;-&quot;??_);_(@_)">
                  <c:v>10.459183673469377</c:v>
                </c:pt>
                <c:pt idx="59" formatCode="_(* #,##0.0000_);_(* \(#,##0.0000\);_(* &quot;-&quot;??_);_(@_)">
                  <c:v>10.633898305084735</c:v>
                </c:pt>
                <c:pt idx="60" formatCode="_(* #,##0.0000_);_(* \(#,##0.0000\);_(* &quot;-&quot;??_);_(@_)">
                  <c:v>10.006433823529402</c:v>
                </c:pt>
                <c:pt idx="61" formatCode="_(* #,##0.0000_);_(* \(#,##0.0000\);_(* &quot;-&quot;??_);_(@_)">
                  <c:v>10.337423312883427</c:v>
                </c:pt>
                <c:pt idx="62" formatCode="_(* #,##0.0000_);_(* \(#,##0.0000\);_(* &quot;-&quot;??_);_(@_)">
                  <c:v>10.239591516103683</c:v>
                </c:pt>
                <c:pt idx="63" formatCode="_(* #,##0.0000_);_(* \(#,##0.0000\);_(* &quot;-&quot;??_);_(@_)">
                  <c:v>10.262308313155762</c:v>
                </c:pt>
                <c:pt idx="64" formatCode="_(* #,##0.0000_);_(* \(#,##0.0000\);_(* &quot;-&quot;??_);_(@_)">
                  <c:v>10.380132450331118</c:v>
                </c:pt>
                <c:pt idx="65" formatCode="_(* #,##0.0000_);_(* \(#,##0.0000\);_(* &quot;-&quot;??_);_(@_)">
                  <c:v>8.4763670064874805</c:v>
                </c:pt>
                <c:pt idx="66" formatCode="_(* #,##0.0000_);_(* \(#,##0.0000\);_(* &quot;-&quot;??_);_(@_)">
                  <c:v>10.306122448979583</c:v>
                </c:pt>
                <c:pt idx="67" formatCode="_(* #,##0.0000_);_(* \(#,##0.0000\);_(* &quot;-&quot;??_);_(@_)">
                  <c:v>10.281288723667895</c:v>
                </c:pt>
                <c:pt idx="68" formatCode="_(* #,##0.0000_);_(* \(#,##0.0000\);_(* &quot;-&quot;??_);_(@_)">
                  <c:v>10.361702127659566</c:v>
                </c:pt>
                <c:pt idx="69" formatCode="_(* #,##0.0000_);_(* \(#,##0.0000\);_(* &quot;-&quot;??_);_(@_)">
                  <c:v>10.229793977812987</c:v>
                </c:pt>
                <c:pt idx="70" formatCode="_(* #,##0.0000_);_(* \(#,##0.0000\);_(* &quot;-&quot;??_);_(@_)">
                  <c:v>10.165228113440186</c:v>
                </c:pt>
                <c:pt idx="71" formatCode="_(* #,##0.0000_);_(* \(#,##0.0000\);_(* &quot;-&quot;??_);_(@_)">
                  <c:v>10.001851851851853</c:v>
                </c:pt>
                <c:pt idx="72" formatCode="_(* #,##0.0000_);_(* \(#,##0.0000\);_(* &quot;-&quot;??_);_(@_)">
                  <c:v>9.9773684210526312</c:v>
                </c:pt>
                <c:pt idx="73" formatCode="_(* #,##0.0000_);_(* \(#,##0.0000\);_(* &quot;-&quot;??_);_(@_)">
                  <c:v>10.033946488294315</c:v>
                </c:pt>
              </c:numCache>
            </c:numRef>
          </c:val>
          <c:smooth val="0"/>
        </c:ser>
        <c:ser>
          <c:idx val="18"/>
          <c:order val="15"/>
          <c:tx>
            <c:strRef>
              <c:f>'Rice (Adjusted)'!$AD$6</c:f>
              <c:strCache>
                <c:ptCount val="1"/>
                <c:pt idx="0">
                  <c:v>Kerman &amp; Kermanshah,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(Adjusted)'!$AD$7:$AD$107</c:f>
              <c:numCache>
                <c:formatCode>0.0000</c:formatCode>
                <c:ptCount val="92"/>
                <c:pt idx="63">
                  <c:v>18.02173821813756</c:v>
                </c:pt>
                <c:pt idx="64">
                  <c:v>19.267416574291122</c:v>
                </c:pt>
                <c:pt idx="68">
                  <c:v>13.333333333333339</c:v>
                </c:pt>
              </c:numCache>
            </c:numRef>
          </c:val>
          <c:smooth val="0"/>
        </c:ser>
        <c:ser>
          <c:idx val="19"/>
          <c:order val="16"/>
          <c:tx>
            <c:strRef>
              <c:f>'Rice (Adjusted)'!$AE$6</c:f>
              <c:strCache>
                <c:ptCount val="1"/>
                <c:pt idx="0">
                  <c:v>Kermanshah,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(Adjusted)'!$AE$7:$AE$107</c:f>
              <c:numCache>
                <c:formatCode>0.0000</c:formatCode>
                <c:ptCount val="92"/>
                <c:pt idx="63">
                  <c:v>10.448156150214981</c:v>
                </c:pt>
                <c:pt idx="64">
                  <c:v>5.5294390998183998</c:v>
                </c:pt>
                <c:pt idx="65">
                  <c:v>12.307692307692299</c:v>
                </c:pt>
              </c:numCache>
            </c:numRef>
          </c:val>
          <c:smooth val="0"/>
        </c:ser>
        <c:ser>
          <c:idx val="20"/>
          <c:order val="17"/>
          <c:tx>
            <c:strRef>
              <c:f>'Rice (Adjusted)'!$AL$6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(Adjusted)'!$AL$7:$AL$107</c:f>
              <c:numCache>
                <c:formatCode>0.0000</c:formatCode>
                <c:ptCount val="92"/>
                <c:pt idx="56">
                  <c:v>8.8595102040816336</c:v>
                </c:pt>
                <c:pt idx="57">
                  <c:v>11.623164179104478</c:v>
                </c:pt>
                <c:pt idx="58">
                  <c:v>8.7482947368421051</c:v>
                </c:pt>
                <c:pt idx="61">
                  <c:v>7.9998278632086297</c:v>
                </c:pt>
                <c:pt idx="62">
                  <c:v>7.9997294966947869</c:v>
                </c:pt>
                <c:pt idx="63">
                  <c:v>8.8888675408681177</c:v>
                </c:pt>
                <c:pt idx="64">
                  <c:v>8.3333385650294609</c:v>
                </c:pt>
                <c:pt idx="65">
                  <c:v>9.7778315767658057</c:v>
                </c:pt>
                <c:pt idx="66">
                  <c:v>12.333338542724823</c:v>
                </c:pt>
                <c:pt idx="67">
                  <c:v>14.673561100351616</c:v>
                </c:pt>
                <c:pt idx="68">
                  <c:v>20.168544925852192</c:v>
                </c:pt>
                <c:pt idx="69">
                  <c:v>11.666666666666668</c:v>
                </c:pt>
                <c:pt idx="70">
                  <c:v>9.1110879673179781</c:v>
                </c:pt>
                <c:pt idx="71">
                  <c:v>9.7902429389689907</c:v>
                </c:pt>
                <c:pt idx="72">
                  <c:v>10.141817551762973</c:v>
                </c:pt>
                <c:pt idx="73">
                  <c:v>10.467568138601312</c:v>
                </c:pt>
              </c:numCache>
            </c:numRef>
          </c:val>
          <c:smooth val="0"/>
        </c:ser>
        <c:ser>
          <c:idx val="21"/>
          <c:order val="18"/>
          <c:tx>
            <c:strRef>
              <c:f>'Rice (Adjusted)'!$AM$6</c:f>
              <c:strCache>
                <c:ptCount val="1"/>
                <c:pt idx="0">
                  <c:v>Muscat,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(Adjusted)'!$AM$7:$AM$107</c:f>
              <c:numCache>
                <c:formatCode>0.0000</c:formatCode>
                <c:ptCount val="92"/>
                <c:pt idx="34">
                  <c:v>11.65457332773846</c:v>
                </c:pt>
                <c:pt idx="35">
                  <c:v>9.8745878269952208</c:v>
                </c:pt>
                <c:pt idx="36">
                  <c:v>9.5305833164354006</c:v>
                </c:pt>
                <c:pt idx="37">
                  <c:v>11.141127683149382</c:v>
                </c:pt>
                <c:pt idx="38">
                  <c:v>11.62507962196112</c:v>
                </c:pt>
                <c:pt idx="39">
                  <c:v>10.39765027258078</c:v>
                </c:pt>
                <c:pt idx="40">
                  <c:v>8.2612386382281606</c:v>
                </c:pt>
                <c:pt idx="41">
                  <c:v>6.2103417605768394</c:v>
                </c:pt>
                <c:pt idx="42">
                  <c:v>7.1733731965018199</c:v>
                </c:pt>
                <c:pt idx="43">
                  <c:v>13.98493005447834</c:v>
                </c:pt>
                <c:pt idx="44">
                  <c:v>10.877768382583799</c:v>
                </c:pt>
                <c:pt idx="45">
                  <c:v>8.8044672720807799</c:v>
                </c:pt>
                <c:pt idx="46">
                  <c:v>7.6091931870859399</c:v>
                </c:pt>
                <c:pt idx="47">
                  <c:v>7.1303755519334402</c:v>
                </c:pt>
                <c:pt idx="48">
                  <c:v>6.9147762543710201</c:v>
                </c:pt>
                <c:pt idx="49">
                  <c:v>8.4689653801194194</c:v>
                </c:pt>
                <c:pt idx="50">
                  <c:v>9.2909464766590393</c:v>
                </c:pt>
                <c:pt idx="51">
                  <c:v>8.732066971983599</c:v>
                </c:pt>
                <c:pt idx="52">
                  <c:v>8.5830431744376607</c:v>
                </c:pt>
                <c:pt idx="53">
                  <c:v>7.7737239113500802</c:v>
                </c:pt>
                <c:pt idx="54">
                  <c:v>6.0999359975096601</c:v>
                </c:pt>
                <c:pt idx="55">
                  <c:v>6.2843833062896408</c:v>
                </c:pt>
                <c:pt idx="56">
                  <c:v>6.4896824690758006</c:v>
                </c:pt>
                <c:pt idx="57">
                  <c:v>8.4883682462058587</c:v>
                </c:pt>
                <c:pt idx="58">
                  <c:v>8.2129293582167389</c:v>
                </c:pt>
                <c:pt idx="59">
                  <c:v>8.3653735226384001</c:v>
                </c:pt>
                <c:pt idx="60">
                  <c:v>7.6468003735446999</c:v>
                </c:pt>
                <c:pt idx="61">
                  <c:v>8.6502093592495992</c:v>
                </c:pt>
                <c:pt idx="62">
                  <c:v>8.4346865857014599</c:v>
                </c:pt>
                <c:pt idx="63">
                  <c:v>9.3905605283740403</c:v>
                </c:pt>
                <c:pt idx="64">
                  <c:v>7.1564066075722002</c:v>
                </c:pt>
                <c:pt idx="65">
                  <c:v>7</c:v>
                </c:pt>
                <c:pt idx="66">
                  <c:v>8</c:v>
                </c:pt>
                <c:pt idx="67">
                  <c:v>9.166666666666659</c:v>
                </c:pt>
                <c:pt idx="68">
                  <c:v>9</c:v>
                </c:pt>
                <c:pt idx="69">
                  <c:v>9.1</c:v>
                </c:pt>
                <c:pt idx="70">
                  <c:v>10.122095671981779</c:v>
                </c:pt>
                <c:pt idx="71">
                  <c:v>11.107645722937161</c:v>
                </c:pt>
              </c:numCache>
            </c:numRef>
          </c:val>
          <c:smooth val="0"/>
        </c:ser>
        <c:ser>
          <c:idx val="22"/>
          <c:order val="19"/>
          <c:tx>
            <c:strRef>
              <c:f>'Rice (Adjusted)'!$AN$6</c:f>
              <c:strCache>
                <c:ptCount val="1"/>
                <c:pt idx="0">
                  <c:v>Muscat,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(Adjusted)'!$AN$7:$AN$107</c:f>
              <c:numCache>
                <c:formatCode>0.0000</c:formatCode>
                <c:ptCount val="92"/>
                <c:pt idx="39">
                  <c:v>6.8123248612692198</c:v>
                </c:pt>
                <c:pt idx="40">
                  <c:v>8.2602152795882606</c:v>
                </c:pt>
                <c:pt idx="41">
                  <c:v>7.0039624431505398</c:v>
                </c:pt>
                <c:pt idx="42">
                  <c:v>6.2182162870265802</c:v>
                </c:pt>
                <c:pt idx="43">
                  <c:v>7.7609016139056397</c:v>
                </c:pt>
                <c:pt idx="44">
                  <c:v>8.2319848787694401</c:v>
                </c:pt>
                <c:pt idx="45">
                  <c:v>8.77400857449088</c:v>
                </c:pt>
                <c:pt idx="46">
                  <c:v>7.6857266229251797</c:v>
                </c:pt>
                <c:pt idx="47">
                  <c:v>7.5692762195475201</c:v>
                </c:pt>
                <c:pt idx="48">
                  <c:v>6.9717797862170805</c:v>
                </c:pt>
                <c:pt idx="49">
                  <c:v>7.7125455037030601</c:v>
                </c:pt>
                <c:pt idx="50">
                  <c:v>8.3875657543932007</c:v>
                </c:pt>
                <c:pt idx="51">
                  <c:v>9.1593535456678605</c:v>
                </c:pt>
                <c:pt idx="52">
                  <c:v>8.97726746038642</c:v>
                </c:pt>
                <c:pt idx="53">
                  <c:v>8.1077711151666207</c:v>
                </c:pt>
                <c:pt idx="54">
                  <c:v>7.3195783243050201</c:v>
                </c:pt>
                <c:pt idx="70">
                  <c:v>9</c:v>
                </c:pt>
              </c:numCache>
            </c:numRef>
          </c:val>
          <c:smooth val="0"/>
        </c:ser>
        <c:ser>
          <c:idx val="23"/>
          <c:order val="20"/>
          <c:tx>
            <c:strRef>
              <c:f>'Rice (Adjusted)'!$AO$6</c:f>
              <c:strCache>
                <c:ptCount val="1"/>
                <c:pt idx="0">
                  <c:v>Mohammerah,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(Adjusted)'!$AO$7:$AO$107</c:f>
              <c:numCache>
                <c:formatCode>0.0000</c:formatCode>
                <c:ptCount val="92"/>
                <c:pt idx="50">
                  <c:v>5.9760683760683797</c:v>
                </c:pt>
                <c:pt idx="51">
                  <c:v>6.8736280965819994</c:v>
                </c:pt>
                <c:pt idx="52">
                  <c:v>10</c:v>
                </c:pt>
                <c:pt idx="53">
                  <c:v>6.6666666666666599</c:v>
                </c:pt>
                <c:pt idx="54">
                  <c:v>5.3303637713437197</c:v>
                </c:pt>
                <c:pt idx="55">
                  <c:v>5.0466321243523407</c:v>
                </c:pt>
                <c:pt idx="56">
                  <c:v>12.54861183321202</c:v>
                </c:pt>
                <c:pt idx="57">
                  <c:v>10.063752276867039</c:v>
                </c:pt>
                <c:pt idx="58">
                  <c:v>7.3509490137699993</c:v>
                </c:pt>
                <c:pt idx="59">
                  <c:v>7.7395136282030395</c:v>
                </c:pt>
                <c:pt idx="60">
                  <c:v>5.2297734627831804</c:v>
                </c:pt>
                <c:pt idx="61">
                  <c:v>6.94603903559128</c:v>
                </c:pt>
                <c:pt idx="62">
                  <c:v>7.6464323748668805</c:v>
                </c:pt>
                <c:pt idx="66">
                  <c:v>11.14818449460256</c:v>
                </c:pt>
                <c:pt idx="67">
                  <c:v>13.54736172917992</c:v>
                </c:pt>
                <c:pt idx="68">
                  <c:v>10.058018101647722</c:v>
                </c:pt>
                <c:pt idx="69">
                  <c:v>11.87147082549072</c:v>
                </c:pt>
                <c:pt idx="70">
                  <c:v>10.95896328293736</c:v>
                </c:pt>
                <c:pt idx="71">
                  <c:v>7.1235955056179803</c:v>
                </c:pt>
                <c:pt idx="72">
                  <c:v>11.915760869565219</c:v>
                </c:pt>
              </c:numCache>
            </c:numRef>
          </c:val>
          <c:smooth val="0"/>
        </c:ser>
        <c:ser>
          <c:idx val="24"/>
          <c:order val="21"/>
          <c:tx>
            <c:strRef>
              <c:f>'Rice (Adjusted)'!$AP$6</c:f>
              <c:strCache>
                <c:ptCount val="1"/>
                <c:pt idx="0">
                  <c:v>Mohammerah,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(Adjusted)'!$AP$7:$AP$107</c:f>
              <c:numCache>
                <c:formatCode>0.0000</c:formatCode>
                <c:ptCount val="92"/>
                <c:pt idx="51">
                  <c:v>6.6225165562913997</c:v>
                </c:pt>
                <c:pt idx="52">
                  <c:v>6.6666666666666599</c:v>
                </c:pt>
              </c:numCache>
            </c:numRef>
          </c:val>
          <c:smooth val="0"/>
        </c:ser>
        <c:ser>
          <c:idx val="25"/>
          <c:order val="22"/>
          <c:tx>
            <c:strRef>
              <c:f>'Rice (Adjusted)'!$AQ$6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(Adjusted)'!$AQ$7:$AQ$107</c:f>
              <c:numCache>
                <c:formatCode>0.0000</c:formatCode>
                <c:ptCount val="92"/>
                <c:pt idx="56">
                  <c:v>7.8431666666666597</c:v>
                </c:pt>
                <c:pt idx="57">
                  <c:v>10.833333333333339</c:v>
                </c:pt>
                <c:pt idx="58">
                  <c:v>7.5</c:v>
                </c:pt>
                <c:pt idx="59">
                  <c:v>8</c:v>
                </c:pt>
                <c:pt idx="66">
                  <c:v>9.7680551798755797</c:v>
                </c:pt>
                <c:pt idx="67">
                  <c:v>11.62276004854716</c:v>
                </c:pt>
                <c:pt idx="68">
                  <c:v>11.74997207293308</c:v>
                </c:pt>
                <c:pt idx="69">
                  <c:v>6.6531827166948796</c:v>
                </c:pt>
                <c:pt idx="70">
                  <c:v>10.772308825334481</c:v>
                </c:pt>
                <c:pt idx="71">
                  <c:v>10.5149856175188</c:v>
                </c:pt>
                <c:pt idx="72">
                  <c:v>12.9020545111918</c:v>
                </c:pt>
              </c:numCache>
            </c:numRef>
          </c:val>
          <c:smooth val="0"/>
        </c:ser>
        <c:ser>
          <c:idx val="26"/>
          <c:order val="23"/>
          <c:tx>
            <c:strRef>
              <c:f>'Rice (Adjusted)'!$AR$6</c:f>
              <c:strCache>
                <c:ptCount val="1"/>
                <c:pt idx="0">
                  <c:v>Lingah,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(Adjusted)'!$AR$7:$AR$107</c:f>
              <c:numCache>
                <c:formatCode>0.0000</c:formatCode>
                <c:ptCount val="92"/>
                <c:pt idx="56">
                  <c:v>6.9884757039325196</c:v>
                </c:pt>
                <c:pt idx="57">
                  <c:v>10.83346405228758</c:v>
                </c:pt>
                <c:pt idx="58">
                  <c:v>7.5</c:v>
                </c:pt>
                <c:pt idx="59">
                  <c:v>8</c:v>
                </c:pt>
                <c:pt idx="69">
                  <c:v>12.877307274701419</c:v>
                </c:pt>
                <c:pt idx="70">
                  <c:v>8.9367253750815401</c:v>
                </c:pt>
                <c:pt idx="71">
                  <c:v>11.6858761476851</c:v>
                </c:pt>
                <c:pt idx="72">
                  <c:v>10.470490440565261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655296"/>
        <c:axId val="293653616"/>
      </c:lineChart>
      <c:catAx>
        <c:axId val="29365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653616"/>
        <c:crosses val="autoZero"/>
        <c:auto val="1"/>
        <c:lblAlgn val="ctr"/>
        <c:lblOffset val="100"/>
        <c:noMultiLvlLbl val="0"/>
      </c:catAx>
      <c:valAx>
        <c:axId val="293653616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655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43617335866122"/>
          <c:y val="7.1520530942668317E-2"/>
          <c:w val="0.21413755887134095"/>
          <c:h val="0.862204724409448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Rice, UK, Black Sea, Caspian Sea, Persia, Persian Gulf, in pound/ton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'Rice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(Adjusted)'!$C$7:$C$107</c:f>
              <c:numCache>
                <c:formatCode>_(* #,##0.0000_);_(* \(#,##0.0000\);_(* "-"??_);_(@_)</c:formatCode>
                <c:ptCount val="92"/>
                <c:pt idx="14">
                  <c:v>14.103197323697373</c:v>
                </c:pt>
                <c:pt idx="15">
                  <c:v>14.615357807625735</c:v>
                </c:pt>
                <c:pt idx="16">
                  <c:v>10.76402200324431</c:v>
                </c:pt>
                <c:pt idx="17">
                  <c:v>11.443868777449964</c:v>
                </c:pt>
                <c:pt idx="18">
                  <c:v>9.0114227349071232</c:v>
                </c:pt>
                <c:pt idx="19">
                  <c:v>11.128935267555438</c:v>
                </c:pt>
                <c:pt idx="20">
                  <c:v>13.369819123129771</c:v>
                </c:pt>
                <c:pt idx="21">
                  <c:v>12.898024026982984</c:v>
                </c:pt>
                <c:pt idx="22">
                  <c:v>12.259460966998478</c:v>
                </c:pt>
                <c:pt idx="23">
                  <c:v>12.159438326708802</c:v>
                </c:pt>
                <c:pt idx="24">
                  <c:v>11.350700359198783</c:v>
                </c:pt>
                <c:pt idx="25">
                  <c:v>13.73</c:v>
                </c:pt>
                <c:pt idx="26">
                  <c:v>13.58</c:v>
                </c:pt>
                <c:pt idx="27">
                  <c:v>14.64</c:v>
                </c:pt>
                <c:pt idx="28">
                  <c:v>12.29</c:v>
                </c:pt>
                <c:pt idx="29">
                  <c:v>10.67</c:v>
                </c:pt>
                <c:pt idx="30">
                  <c:v>10.58</c:v>
                </c:pt>
                <c:pt idx="31">
                  <c:v>10.19</c:v>
                </c:pt>
                <c:pt idx="32">
                  <c:v>10</c:v>
                </c:pt>
                <c:pt idx="33">
                  <c:v>9.92</c:v>
                </c:pt>
                <c:pt idx="34">
                  <c:v>10.33</c:v>
                </c:pt>
                <c:pt idx="35">
                  <c:v>8.9499999999999993</c:v>
                </c:pt>
                <c:pt idx="36">
                  <c:v>9.06</c:v>
                </c:pt>
                <c:pt idx="37">
                  <c:v>10.55</c:v>
                </c:pt>
                <c:pt idx="38">
                  <c:v>10.48</c:v>
                </c:pt>
                <c:pt idx="39">
                  <c:v>10.15</c:v>
                </c:pt>
                <c:pt idx="40">
                  <c:v>9.52</c:v>
                </c:pt>
                <c:pt idx="41">
                  <c:v>8.64</c:v>
                </c:pt>
                <c:pt idx="42">
                  <c:v>7.98</c:v>
                </c:pt>
                <c:pt idx="43">
                  <c:v>8.1999999999999993</c:v>
                </c:pt>
                <c:pt idx="44">
                  <c:v>8.14</c:v>
                </c:pt>
                <c:pt idx="45">
                  <c:v>7.82</c:v>
                </c:pt>
                <c:pt idx="46">
                  <c:v>7.48</c:v>
                </c:pt>
                <c:pt idx="47">
                  <c:v>7.47</c:v>
                </c:pt>
                <c:pt idx="48">
                  <c:v>7.46</c:v>
                </c:pt>
                <c:pt idx="49">
                  <c:v>8.17</c:v>
                </c:pt>
                <c:pt idx="50">
                  <c:v>8.56</c:v>
                </c:pt>
                <c:pt idx="51">
                  <c:v>9.0299999999999994</c:v>
                </c:pt>
                <c:pt idx="52">
                  <c:v>8.89</c:v>
                </c:pt>
                <c:pt idx="53">
                  <c:v>7.85</c:v>
                </c:pt>
                <c:pt idx="54">
                  <c:v>7.62</c:v>
                </c:pt>
                <c:pt idx="55">
                  <c:v>7.3</c:v>
                </c:pt>
                <c:pt idx="56">
                  <c:v>7.45</c:v>
                </c:pt>
                <c:pt idx="57">
                  <c:v>8.17</c:v>
                </c:pt>
                <c:pt idx="58">
                  <c:v>8.82</c:v>
                </c:pt>
                <c:pt idx="59">
                  <c:v>8.7100000000000009</c:v>
                </c:pt>
                <c:pt idx="63">
                  <c:v>8.7200000000000006</c:v>
                </c:pt>
                <c:pt idx="64">
                  <c:v>7.83</c:v>
                </c:pt>
                <c:pt idx="65">
                  <c:v>8.27</c:v>
                </c:pt>
                <c:pt idx="66">
                  <c:v>8.68</c:v>
                </c:pt>
                <c:pt idx="67">
                  <c:v>9.68</c:v>
                </c:pt>
                <c:pt idx="68">
                  <c:v>9.15</c:v>
                </c:pt>
                <c:pt idx="69">
                  <c:v>8.83</c:v>
                </c:pt>
                <c:pt idx="70">
                  <c:v>8.59</c:v>
                </c:pt>
                <c:pt idx="71">
                  <c:v>9.27</c:v>
                </c:pt>
                <c:pt idx="72">
                  <c:v>11.3</c:v>
                </c:pt>
                <c:pt idx="73">
                  <c:v>10.56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'Rice (Adjusted)'!$D$6</c:f>
              <c:strCache>
                <c:ptCount val="1"/>
                <c:pt idx="0">
                  <c:v>UK, Foreign and Colonial Exports,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(Adjusted)'!$D$7:$D$107</c:f>
              <c:numCache>
                <c:formatCode>_(* #,##0.0000_);_(* \(#,##0.0000\);_(* "-"??_);_(@_)</c:formatCode>
                <c:ptCount val="92"/>
                <c:pt idx="14">
                  <c:v>14.083332297480391</c:v>
                </c:pt>
                <c:pt idx="15">
                  <c:v>14.583347696844182</c:v>
                </c:pt>
                <c:pt idx="16">
                  <c:v>10.749996103844911</c:v>
                </c:pt>
                <c:pt idx="17">
                  <c:v>11.416666201915149</c:v>
                </c:pt>
                <c:pt idx="18">
                  <c:v>9.0003851084722193</c:v>
                </c:pt>
                <c:pt idx="19">
                  <c:v>11.166668831028288</c:v>
                </c:pt>
                <c:pt idx="20">
                  <c:v>13.416668797790452</c:v>
                </c:pt>
                <c:pt idx="21">
                  <c:v>12.916661827860839</c:v>
                </c:pt>
                <c:pt idx="22">
                  <c:v>12.249999803466691</c:v>
                </c:pt>
                <c:pt idx="23">
                  <c:v>12.166663554019983</c:v>
                </c:pt>
                <c:pt idx="24">
                  <c:v>11.33333928810683</c:v>
                </c:pt>
                <c:pt idx="25">
                  <c:v>13.749998209546128</c:v>
                </c:pt>
                <c:pt idx="26">
                  <c:v>13.583331600763561</c:v>
                </c:pt>
                <c:pt idx="27">
                  <c:v>14.666666666666666</c:v>
                </c:pt>
                <c:pt idx="28">
                  <c:v>12.333336599034006</c:v>
                </c:pt>
                <c:pt idx="29">
                  <c:v>10.666660826449178</c:v>
                </c:pt>
                <c:pt idx="30">
                  <c:v>10.583330332385035</c:v>
                </c:pt>
                <c:pt idx="31">
                  <c:v>12.308464509066583</c:v>
                </c:pt>
                <c:pt idx="32">
                  <c:v>12.607540507999966</c:v>
                </c:pt>
                <c:pt idx="33">
                  <c:v>11.740083761545105</c:v>
                </c:pt>
                <c:pt idx="34">
                  <c:v>12.304800755710003</c:v>
                </c:pt>
                <c:pt idx="35">
                  <c:v>11.003075858577642</c:v>
                </c:pt>
                <c:pt idx="36">
                  <c:v>10.740606916430709</c:v>
                </c:pt>
                <c:pt idx="37">
                  <c:v>12.572755452258406</c:v>
                </c:pt>
                <c:pt idx="38">
                  <c:v>12.646175552901486</c:v>
                </c:pt>
                <c:pt idx="39">
                  <c:v>12.111918445967746</c:v>
                </c:pt>
                <c:pt idx="40">
                  <c:v>11.634829111836106</c:v>
                </c:pt>
                <c:pt idx="41">
                  <c:v>10.288512958339531</c:v>
                </c:pt>
                <c:pt idx="42">
                  <c:v>9.5062068139602491</c:v>
                </c:pt>
                <c:pt idx="43">
                  <c:v>9.5958721210596725</c:v>
                </c:pt>
                <c:pt idx="44">
                  <c:v>9.7721508526520022</c:v>
                </c:pt>
                <c:pt idx="45">
                  <c:v>9.3573422499581032</c:v>
                </c:pt>
                <c:pt idx="46">
                  <c:v>8.9676127712744922</c:v>
                </c:pt>
                <c:pt idx="47">
                  <c:v>8.7418012930277929</c:v>
                </c:pt>
                <c:pt idx="48">
                  <c:v>8.6611977300167062</c:v>
                </c:pt>
                <c:pt idx="49">
                  <c:v>9.3321192957478338</c:v>
                </c:pt>
                <c:pt idx="50">
                  <c:v>9.4521901011252414</c:v>
                </c:pt>
                <c:pt idx="51">
                  <c:v>9.3965995453857776</c:v>
                </c:pt>
                <c:pt idx="52">
                  <c:v>9.4978037904675379</c:v>
                </c:pt>
                <c:pt idx="53">
                  <c:v>8.3867810398369187</c:v>
                </c:pt>
                <c:pt idx="54">
                  <c:v>7.809083358995176</c:v>
                </c:pt>
                <c:pt idx="55">
                  <c:v>7.2604343093216919</c:v>
                </c:pt>
                <c:pt idx="56">
                  <c:v>7.6481463236529912</c:v>
                </c:pt>
                <c:pt idx="57">
                  <c:v>8.9566427212584117</c:v>
                </c:pt>
                <c:pt idx="58">
                  <c:v>9.4003178271388634</c:v>
                </c:pt>
                <c:pt idx="59">
                  <c:v>8.9073878527984593</c:v>
                </c:pt>
                <c:pt idx="63">
                  <c:v>9.4880053938202362</c:v>
                </c:pt>
                <c:pt idx="64">
                  <c:v>8.2194860417162161</c:v>
                </c:pt>
                <c:pt idx="65">
                  <c:v>8.8014826096277119</c:v>
                </c:pt>
                <c:pt idx="66">
                  <c:v>9.8068788451468585</c:v>
                </c:pt>
                <c:pt idx="67">
                  <c:v>10.772960587892795</c:v>
                </c:pt>
                <c:pt idx="68">
                  <c:v>10.139318228440866</c:v>
                </c:pt>
                <c:pt idx="69">
                  <c:v>9.9958562243520337</c:v>
                </c:pt>
                <c:pt idx="70">
                  <c:v>9.2642174317075643</c:v>
                </c:pt>
                <c:pt idx="71">
                  <c:v>9.7612240425888448</c:v>
                </c:pt>
                <c:pt idx="72">
                  <c:v>12.473587498789112</c:v>
                </c:pt>
                <c:pt idx="73">
                  <c:v>11.782113793657098</c:v>
                </c:pt>
                <c:pt idx="74">
                  <c:v>10.796807864392488</c:v>
                </c:pt>
                <c:pt idx="75">
                  <c:v>11.850360161990087</c:v>
                </c:pt>
                <c:pt idx="76">
                  <c:v>16.720349164565679</c:v>
                </c:pt>
                <c:pt idx="77">
                  <c:v>20.354333570002964</c:v>
                </c:pt>
                <c:pt idx="78">
                  <c:v>32.643729189789127</c:v>
                </c:pt>
                <c:pt idx="79">
                  <c:v>27.625954141957074</c:v>
                </c:pt>
                <c:pt idx="80">
                  <c:v>43.575690247028042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'Rice (Adjusted)'!$U$6</c:f>
              <c:strCache>
                <c:ptCount val="1"/>
                <c:pt idx="0">
                  <c:v>Constantinople, Imports,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(Adjusted)'!$U$7:$U$107</c:f>
              <c:numCache>
                <c:formatCode>0.0000</c:formatCode>
                <c:ptCount val="92"/>
                <c:pt idx="57">
                  <c:v>15</c:v>
                </c:pt>
                <c:pt idx="67">
                  <c:v>14.251401120896718</c:v>
                </c:pt>
                <c:pt idx="70">
                  <c:v>9.0243902439024382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'Rice (Adjusted)'!$V$6</c:f>
              <c:strCache>
                <c:ptCount val="1"/>
                <c:pt idx="0">
                  <c:v>Constantinople, Exports, in pound/ton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(Adjusted)'!$V$7:$V$107</c:f>
              <c:numCache>
                <c:formatCode>0.0000</c:formatCode>
                <c:ptCount val="92"/>
                <c:pt idx="45">
                  <c:v>17.389285705705277</c:v>
                </c:pt>
                <c:pt idx="46">
                  <c:v>13.81818181818182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'Rice (Adjusted)'!$W$6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(Adjusted)'!$W$7:$W$107</c:f>
              <c:numCache>
                <c:formatCode>0.0000</c:formatCode>
                <c:ptCount val="92"/>
                <c:pt idx="43">
                  <c:v>15</c:v>
                </c:pt>
                <c:pt idx="44">
                  <c:v>13</c:v>
                </c:pt>
                <c:pt idx="45">
                  <c:v>11.493670886075948</c:v>
                </c:pt>
                <c:pt idx="46">
                  <c:v>13.280106453759149</c:v>
                </c:pt>
                <c:pt idx="47">
                  <c:v>11.994261119081779</c:v>
                </c:pt>
                <c:pt idx="48">
                  <c:v>12.009569377990431</c:v>
                </c:pt>
                <c:pt idx="49">
                  <c:v>12.871287128712872</c:v>
                </c:pt>
                <c:pt idx="50">
                  <c:v>12.79954571266326</c:v>
                </c:pt>
                <c:pt idx="51">
                  <c:v>10.782208588957056</c:v>
                </c:pt>
                <c:pt idx="52">
                  <c:v>12</c:v>
                </c:pt>
                <c:pt idx="53">
                  <c:v>12.006717044500419</c:v>
                </c:pt>
                <c:pt idx="54">
                  <c:v>11.994996873045654</c:v>
                </c:pt>
                <c:pt idx="55">
                  <c:v>12.004479283314671</c:v>
                </c:pt>
                <c:pt idx="56">
                  <c:v>12.005885237861698</c:v>
                </c:pt>
                <c:pt idx="57">
                  <c:v>13.99390243902439</c:v>
                </c:pt>
                <c:pt idx="58">
                  <c:v>13.969335604770016</c:v>
                </c:pt>
                <c:pt idx="59">
                  <c:v>13.965822038892162</c:v>
                </c:pt>
                <c:pt idx="60">
                  <c:v>11.843393148450245</c:v>
                </c:pt>
                <c:pt idx="61">
                  <c:v>9.9640933572710964</c:v>
                </c:pt>
                <c:pt idx="62">
                  <c:v>9.9933199732798919</c:v>
                </c:pt>
                <c:pt idx="63">
                  <c:v>9.9903753609239647</c:v>
                </c:pt>
                <c:pt idx="64">
                  <c:v>9.9970700263697623</c:v>
                </c:pt>
                <c:pt idx="65">
                  <c:v>10.016518004625041</c:v>
                </c:pt>
                <c:pt idx="66">
                  <c:v>10</c:v>
                </c:pt>
                <c:pt idx="67">
                  <c:v>10.397753860552177</c:v>
                </c:pt>
                <c:pt idx="68">
                  <c:v>11.541593160537387</c:v>
                </c:pt>
                <c:pt idx="69">
                  <c:v>11.135623869801085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'Rice (Adjusted)'!$X$6</c:f>
              <c:strCache>
                <c:ptCount val="1"/>
                <c:pt idx="0">
                  <c:v>Trebizond (Persia),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(Adjusted)'!$X$7:$X$107</c:f>
              <c:numCache>
                <c:formatCode>0.0000</c:formatCode>
                <c:ptCount val="92"/>
                <c:pt idx="43">
                  <c:v>40</c:v>
                </c:pt>
                <c:pt idx="44">
                  <c:v>40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'Rice (Adjusted)'!$AC$6</c:f>
              <c:strCache>
                <c:ptCount val="1"/>
                <c:pt idx="0">
                  <c:v>Khorasan,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(Adjusted)'!$AC$7:$AC$107</c:f>
              <c:numCache>
                <c:formatCode>0.0000</c:formatCode>
                <c:ptCount val="92"/>
                <c:pt idx="62">
                  <c:v>16.242858193766711</c:v>
                </c:pt>
                <c:pt idx="63">
                  <c:v>21.99941844236568</c:v>
                </c:pt>
                <c:pt idx="64">
                  <c:v>25.879577761119936</c:v>
                </c:pt>
                <c:pt idx="65">
                  <c:v>19.574988028994611</c:v>
                </c:pt>
                <c:pt idx="66">
                  <c:v>21.897655873991074</c:v>
                </c:pt>
                <c:pt idx="67">
                  <c:v>21.821411611170394</c:v>
                </c:pt>
                <c:pt idx="68">
                  <c:v>19.587129848532019</c:v>
                </c:pt>
                <c:pt idx="69">
                  <c:v>17.939606421844463</c:v>
                </c:pt>
                <c:pt idx="70">
                  <c:v>17.858419541786276</c:v>
                </c:pt>
                <c:pt idx="71">
                  <c:v>22.475728695187936</c:v>
                </c:pt>
                <c:pt idx="72">
                  <c:v>30.492258845972223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'Rice (Adjusted)'!$AD$6</c:f>
              <c:strCache>
                <c:ptCount val="1"/>
                <c:pt idx="0">
                  <c:v>Kerman &amp; Kermanshah,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(Adjusted)'!$AD$7:$AD$107</c:f>
              <c:numCache>
                <c:formatCode>0.0000</c:formatCode>
                <c:ptCount val="92"/>
                <c:pt idx="63">
                  <c:v>18.02173821813756</c:v>
                </c:pt>
                <c:pt idx="64">
                  <c:v>19.267416574291122</c:v>
                </c:pt>
                <c:pt idx="68">
                  <c:v>13.333333333333339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'Rice (Adjusted)'!$AE$6</c:f>
              <c:strCache>
                <c:ptCount val="1"/>
                <c:pt idx="0">
                  <c:v>Kermanshah,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(Adjusted)'!$AE$7:$AE$107</c:f>
              <c:numCache>
                <c:formatCode>0.0000</c:formatCode>
                <c:ptCount val="92"/>
                <c:pt idx="63">
                  <c:v>10.448156150214981</c:v>
                </c:pt>
                <c:pt idx="64">
                  <c:v>5.5294390998183998</c:v>
                </c:pt>
                <c:pt idx="65">
                  <c:v>12.307692307692299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'Rice (Adjusted)'!$AG$6</c:f>
              <c:strCache>
                <c:ptCount val="1"/>
                <c:pt idx="0">
                  <c:v>Resht &amp; Mazandaran,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(Adjusted)'!$AG$7:$AG$107</c:f>
              <c:numCache>
                <c:formatCode>0.0000</c:formatCode>
                <c:ptCount val="92"/>
                <c:pt idx="33">
                  <c:v>7.1111111111111001</c:v>
                </c:pt>
                <c:pt idx="34">
                  <c:v>4.6851034162212448</c:v>
                </c:pt>
                <c:pt idx="35">
                  <c:v>4.495582608695651</c:v>
                </c:pt>
                <c:pt idx="50">
                  <c:v>5.6293028268060414</c:v>
                </c:pt>
                <c:pt idx="53">
                  <c:v>5.0109858147600166</c:v>
                </c:pt>
                <c:pt idx="54">
                  <c:v>3.995231956859763</c:v>
                </c:pt>
                <c:pt idx="55">
                  <c:v>4.1442043923851202</c:v>
                </c:pt>
                <c:pt idx="62">
                  <c:v>7.2629548071950909</c:v>
                </c:pt>
                <c:pt idx="66">
                  <c:v>7.4735427324783013</c:v>
                </c:pt>
                <c:pt idx="67">
                  <c:v>7.2000658786375205</c:v>
                </c:pt>
                <c:pt idx="68">
                  <c:v>7.1370870242408797</c:v>
                </c:pt>
                <c:pt idx="69">
                  <c:v>6.6737362197146597</c:v>
                </c:pt>
                <c:pt idx="70">
                  <c:v>7.5241553255998301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'Rice (Adjusted)'!$AI$6</c:f>
              <c:strCache>
                <c:ptCount val="1"/>
                <c:pt idx="0">
                  <c:v>Ghilan &amp; Tunekabun,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(Adjusted)'!$AI$7:$AI$107</c:f>
              <c:numCache>
                <c:formatCode>0.0000</c:formatCode>
                <c:ptCount val="92"/>
                <c:pt idx="24">
                  <c:v>11.48</c:v>
                </c:pt>
                <c:pt idx="30">
                  <c:v>20.130718954248358</c:v>
                </c:pt>
                <c:pt idx="31">
                  <c:v>7.3202614379084956</c:v>
                </c:pt>
                <c:pt idx="35">
                  <c:v>4.8333333333333446</c:v>
                </c:pt>
                <c:pt idx="36">
                  <c:v>5.0000000000000062</c:v>
                </c:pt>
                <c:pt idx="66">
                  <c:v>9.7677565992478073</c:v>
                </c:pt>
                <c:pt idx="67">
                  <c:v>10.055436318346946</c:v>
                </c:pt>
                <c:pt idx="68">
                  <c:v>9.8067878788984597</c:v>
                </c:pt>
                <c:pt idx="69">
                  <c:v>8.4995967867301569</c:v>
                </c:pt>
                <c:pt idx="70">
                  <c:v>8.4748087568484927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'Rice (Adjusted)'!$AJ$6</c:f>
              <c:strCache>
                <c:ptCount val="1"/>
                <c:pt idx="0">
                  <c:v>Bender Gez &amp; Astarabad,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(Adjusted)'!$AJ$7:$AJ$107</c:f>
              <c:numCache>
                <c:formatCode>0.0000</c:formatCode>
                <c:ptCount val="92"/>
                <c:pt idx="41">
                  <c:v>9.570256410256416</c:v>
                </c:pt>
                <c:pt idx="42">
                  <c:v>9.8311111111111131</c:v>
                </c:pt>
                <c:pt idx="66">
                  <c:v>10.528768935218711</c:v>
                </c:pt>
                <c:pt idx="67">
                  <c:v>10.711933113757276</c:v>
                </c:pt>
                <c:pt idx="68">
                  <c:v>9.5763791632882906</c:v>
                </c:pt>
                <c:pt idx="69">
                  <c:v>10.406079008616031</c:v>
                </c:pt>
                <c:pt idx="70">
                  <c:v>10.983446932814024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'Rice (Adjusted)'!$AK$6</c:f>
              <c:strCache>
                <c:ptCount val="1"/>
                <c:pt idx="0">
                  <c:v>Astara,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(Adjusted)'!$AK$7:$AK$107</c:f>
              <c:numCache>
                <c:formatCode>0.0000</c:formatCode>
                <c:ptCount val="92"/>
                <c:pt idx="68">
                  <c:v>10.672860659700602</c:v>
                </c:pt>
                <c:pt idx="69">
                  <c:v>10.735063159868993</c:v>
                </c:pt>
                <c:pt idx="70">
                  <c:v>9.0894416457605818</c:v>
                </c:pt>
              </c:numCache>
            </c:numRef>
          </c:val>
          <c:smooth val="0"/>
        </c:ser>
        <c:ser>
          <c:idx val="20"/>
          <c:order val="13"/>
          <c:tx>
            <c:strRef>
              <c:f>'Rice (Adjusted)'!$AL$6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(Adjusted)'!$AL$7:$AL$107</c:f>
              <c:numCache>
                <c:formatCode>0.0000</c:formatCode>
                <c:ptCount val="92"/>
                <c:pt idx="56">
                  <c:v>8.8595102040816336</c:v>
                </c:pt>
                <c:pt idx="57">
                  <c:v>11.623164179104478</c:v>
                </c:pt>
                <c:pt idx="58">
                  <c:v>8.7482947368421051</c:v>
                </c:pt>
                <c:pt idx="61">
                  <c:v>7.9998278632086297</c:v>
                </c:pt>
                <c:pt idx="62">
                  <c:v>7.9997294966947869</c:v>
                </c:pt>
                <c:pt idx="63">
                  <c:v>8.8888675408681177</c:v>
                </c:pt>
                <c:pt idx="64">
                  <c:v>8.3333385650294609</c:v>
                </c:pt>
                <c:pt idx="65">
                  <c:v>9.7778315767658057</c:v>
                </c:pt>
                <c:pt idx="66">
                  <c:v>12.333338542724823</c:v>
                </c:pt>
                <c:pt idx="67">
                  <c:v>14.673561100351616</c:v>
                </c:pt>
                <c:pt idx="68">
                  <c:v>20.168544925852192</c:v>
                </c:pt>
                <c:pt idx="69">
                  <c:v>11.666666666666668</c:v>
                </c:pt>
                <c:pt idx="70">
                  <c:v>9.1110879673179781</c:v>
                </c:pt>
                <c:pt idx="71">
                  <c:v>9.7902429389689907</c:v>
                </c:pt>
                <c:pt idx="72">
                  <c:v>10.141817551762973</c:v>
                </c:pt>
                <c:pt idx="73">
                  <c:v>10.467568138601312</c:v>
                </c:pt>
              </c:numCache>
            </c:numRef>
          </c:val>
          <c:smooth val="0"/>
        </c:ser>
        <c:ser>
          <c:idx val="21"/>
          <c:order val="14"/>
          <c:tx>
            <c:strRef>
              <c:f>'Rice (Adjusted)'!$AM$6</c:f>
              <c:strCache>
                <c:ptCount val="1"/>
                <c:pt idx="0">
                  <c:v>Muscat,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(Adjusted)'!$AM$7:$AM$107</c:f>
              <c:numCache>
                <c:formatCode>0.0000</c:formatCode>
                <c:ptCount val="92"/>
                <c:pt idx="34">
                  <c:v>11.65457332773846</c:v>
                </c:pt>
                <c:pt idx="35">
                  <c:v>9.8745878269952208</c:v>
                </c:pt>
                <c:pt idx="36">
                  <c:v>9.5305833164354006</c:v>
                </c:pt>
                <c:pt idx="37">
                  <c:v>11.141127683149382</c:v>
                </c:pt>
                <c:pt idx="38">
                  <c:v>11.62507962196112</c:v>
                </c:pt>
                <c:pt idx="39">
                  <c:v>10.39765027258078</c:v>
                </c:pt>
                <c:pt idx="40">
                  <c:v>8.2612386382281606</c:v>
                </c:pt>
                <c:pt idx="41">
                  <c:v>6.2103417605768394</c:v>
                </c:pt>
                <c:pt idx="42">
                  <c:v>7.1733731965018199</c:v>
                </c:pt>
                <c:pt idx="43">
                  <c:v>13.98493005447834</c:v>
                </c:pt>
                <c:pt idx="44">
                  <c:v>10.877768382583799</c:v>
                </c:pt>
                <c:pt idx="45">
                  <c:v>8.8044672720807799</c:v>
                </c:pt>
                <c:pt idx="46">
                  <c:v>7.6091931870859399</c:v>
                </c:pt>
                <c:pt idx="47">
                  <c:v>7.1303755519334402</c:v>
                </c:pt>
                <c:pt idx="48">
                  <c:v>6.9147762543710201</c:v>
                </c:pt>
                <c:pt idx="49">
                  <c:v>8.4689653801194194</c:v>
                </c:pt>
                <c:pt idx="50">
                  <c:v>9.2909464766590393</c:v>
                </c:pt>
                <c:pt idx="51">
                  <c:v>8.732066971983599</c:v>
                </c:pt>
                <c:pt idx="52">
                  <c:v>8.5830431744376607</c:v>
                </c:pt>
                <c:pt idx="53">
                  <c:v>7.7737239113500802</c:v>
                </c:pt>
                <c:pt idx="54">
                  <c:v>6.0999359975096601</c:v>
                </c:pt>
                <c:pt idx="55">
                  <c:v>6.2843833062896408</c:v>
                </c:pt>
                <c:pt idx="56">
                  <c:v>6.4896824690758006</c:v>
                </c:pt>
                <c:pt idx="57">
                  <c:v>8.4883682462058587</c:v>
                </c:pt>
                <c:pt idx="58">
                  <c:v>8.2129293582167389</c:v>
                </c:pt>
                <c:pt idx="59">
                  <c:v>8.3653735226384001</c:v>
                </c:pt>
                <c:pt idx="60">
                  <c:v>7.6468003735446999</c:v>
                </c:pt>
                <c:pt idx="61">
                  <c:v>8.6502093592495992</c:v>
                </c:pt>
                <c:pt idx="62">
                  <c:v>8.4346865857014599</c:v>
                </c:pt>
                <c:pt idx="63">
                  <c:v>9.3905605283740403</c:v>
                </c:pt>
                <c:pt idx="64">
                  <c:v>7.1564066075722002</c:v>
                </c:pt>
                <c:pt idx="65">
                  <c:v>7</c:v>
                </c:pt>
                <c:pt idx="66">
                  <c:v>8</c:v>
                </c:pt>
                <c:pt idx="67">
                  <c:v>9.166666666666659</c:v>
                </c:pt>
                <c:pt idx="68">
                  <c:v>9</c:v>
                </c:pt>
                <c:pt idx="69">
                  <c:v>9.1</c:v>
                </c:pt>
                <c:pt idx="70">
                  <c:v>10.122095671981779</c:v>
                </c:pt>
                <c:pt idx="71">
                  <c:v>11.107645722937161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'Rice (Adjusted)'!$AN$6</c:f>
              <c:strCache>
                <c:ptCount val="1"/>
                <c:pt idx="0">
                  <c:v>Muscat,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(Adjusted)'!$AN$7:$AN$107</c:f>
              <c:numCache>
                <c:formatCode>0.0000</c:formatCode>
                <c:ptCount val="92"/>
                <c:pt idx="39">
                  <c:v>6.8123248612692198</c:v>
                </c:pt>
                <c:pt idx="40">
                  <c:v>8.2602152795882606</c:v>
                </c:pt>
                <c:pt idx="41">
                  <c:v>7.0039624431505398</c:v>
                </c:pt>
                <c:pt idx="42">
                  <c:v>6.2182162870265802</c:v>
                </c:pt>
                <c:pt idx="43">
                  <c:v>7.7609016139056397</c:v>
                </c:pt>
                <c:pt idx="44">
                  <c:v>8.2319848787694401</c:v>
                </c:pt>
                <c:pt idx="45">
                  <c:v>8.77400857449088</c:v>
                </c:pt>
                <c:pt idx="46">
                  <c:v>7.6857266229251797</c:v>
                </c:pt>
                <c:pt idx="47">
                  <c:v>7.5692762195475201</c:v>
                </c:pt>
                <c:pt idx="48">
                  <c:v>6.9717797862170805</c:v>
                </c:pt>
                <c:pt idx="49">
                  <c:v>7.7125455037030601</c:v>
                </c:pt>
                <c:pt idx="50">
                  <c:v>8.3875657543932007</c:v>
                </c:pt>
                <c:pt idx="51">
                  <c:v>9.1593535456678605</c:v>
                </c:pt>
                <c:pt idx="52">
                  <c:v>8.97726746038642</c:v>
                </c:pt>
                <c:pt idx="53">
                  <c:v>8.1077711151666207</c:v>
                </c:pt>
                <c:pt idx="54">
                  <c:v>7.3195783243050201</c:v>
                </c:pt>
                <c:pt idx="70">
                  <c:v>9</c:v>
                </c:pt>
              </c:numCache>
            </c:numRef>
          </c:val>
          <c:smooth val="0"/>
        </c:ser>
        <c:ser>
          <c:idx val="23"/>
          <c:order val="16"/>
          <c:tx>
            <c:strRef>
              <c:f>'Rice (Adjusted)'!$AO$6</c:f>
              <c:strCache>
                <c:ptCount val="1"/>
                <c:pt idx="0">
                  <c:v>Mohammerah,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(Adjusted)'!$AO$7:$AO$107</c:f>
              <c:numCache>
                <c:formatCode>0.0000</c:formatCode>
                <c:ptCount val="92"/>
                <c:pt idx="50">
                  <c:v>5.9760683760683797</c:v>
                </c:pt>
                <c:pt idx="51">
                  <c:v>6.8736280965819994</c:v>
                </c:pt>
                <c:pt idx="52">
                  <c:v>10</c:v>
                </c:pt>
                <c:pt idx="53">
                  <c:v>6.6666666666666599</c:v>
                </c:pt>
                <c:pt idx="54">
                  <c:v>5.3303637713437197</c:v>
                </c:pt>
                <c:pt idx="55">
                  <c:v>5.0466321243523407</c:v>
                </c:pt>
                <c:pt idx="56">
                  <c:v>12.54861183321202</c:v>
                </c:pt>
                <c:pt idx="57">
                  <c:v>10.063752276867039</c:v>
                </c:pt>
                <c:pt idx="58">
                  <c:v>7.3509490137699993</c:v>
                </c:pt>
                <c:pt idx="59">
                  <c:v>7.7395136282030395</c:v>
                </c:pt>
                <c:pt idx="60">
                  <c:v>5.2297734627831804</c:v>
                </c:pt>
                <c:pt idx="61">
                  <c:v>6.94603903559128</c:v>
                </c:pt>
                <c:pt idx="62">
                  <c:v>7.6464323748668805</c:v>
                </c:pt>
                <c:pt idx="66">
                  <c:v>11.14818449460256</c:v>
                </c:pt>
                <c:pt idx="67">
                  <c:v>13.54736172917992</c:v>
                </c:pt>
                <c:pt idx="68">
                  <c:v>10.058018101647722</c:v>
                </c:pt>
                <c:pt idx="69">
                  <c:v>11.87147082549072</c:v>
                </c:pt>
                <c:pt idx="70">
                  <c:v>10.95896328293736</c:v>
                </c:pt>
                <c:pt idx="71">
                  <c:v>7.1235955056179803</c:v>
                </c:pt>
                <c:pt idx="72">
                  <c:v>11.915760869565219</c:v>
                </c:pt>
              </c:numCache>
            </c:numRef>
          </c:val>
          <c:smooth val="0"/>
        </c:ser>
        <c:ser>
          <c:idx val="24"/>
          <c:order val="17"/>
          <c:tx>
            <c:strRef>
              <c:f>'Rice (Adjusted)'!$AP$6</c:f>
              <c:strCache>
                <c:ptCount val="1"/>
                <c:pt idx="0">
                  <c:v>Mohammerah,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(Adjusted)'!$AP$7:$AP$107</c:f>
              <c:numCache>
                <c:formatCode>0.0000</c:formatCode>
                <c:ptCount val="92"/>
                <c:pt idx="51">
                  <c:v>6.6225165562913997</c:v>
                </c:pt>
                <c:pt idx="52">
                  <c:v>6.6666666666666599</c:v>
                </c:pt>
              </c:numCache>
            </c:numRef>
          </c:val>
          <c:smooth val="0"/>
        </c:ser>
        <c:ser>
          <c:idx val="25"/>
          <c:order val="18"/>
          <c:tx>
            <c:strRef>
              <c:f>'Rice (Adjusted)'!$AQ$6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(Adjusted)'!$AQ$7:$AQ$107</c:f>
              <c:numCache>
                <c:formatCode>0.0000</c:formatCode>
                <c:ptCount val="92"/>
                <c:pt idx="56">
                  <c:v>7.8431666666666597</c:v>
                </c:pt>
                <c:pt idx="57">
                  <c:v>10.833333333333339</c:v>
                </c:pt>
                <c:pt idx="58">
                  <c:v>7.5</c:v>
                </c:pt>
                <c:pt idx="59">
                  <c:v>8</c:v>
                </c:pt>
                <c:pt idx="66">
                  <c:v>9.7680551798755797</c:v>
                </c:pt>
                <c:pt idx="67">
                  <c:v>11.62276004854716</c:v>
                </c:pt>
                <c:pt idx="68">
                  <c:v>11.74997207293308</c:v>
                </c:pt>
                <c:pt idx="69">
                  <c:v>6.6531827166948796</c:v>
                </c:pt>
                <c:pt idx="70">
                  <c:v>10.772308825334481</c:v>
                </c:pt>
                <c:pt idx="71">
                  <c:v>10.5149856175188</c:v>
                </c:pt>
                <c:pt idx="72">
                  <c:v>12.9020545111918</c:v>
                </c:pt>
              </c:numCache>
            </c:numRef>
          </c:val>
          <c:smooth val="0"/>
        </c:ser>
        <c:ser>
          <c:idx val="26"/>
          <c:order val="19"/>
          <c:tx>
            <c:strRef>
              <c:f>'Rice (Adjusted)'!$AR$6</c:f>
              <c:strCache>
                <c:ptCount val="1"/>
                <c:pt idx="0">
                  <c:v>Lingah,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(Adjusted)'!$AR$7:$AR$107</c:f>
              <c:numCache>
                <c:formatCode>0.0000</c:formatCode>
                <c:ptCount val="92"/>
                <c:pt idx="56">
                  <c:v>6.9884757039325196</c:v>
                </c:pt>
                <c:pt idx="57">
                  <c:v>10.83346405228758</c:v>
                </c:pt>
                <c:pt idx="58">
                  <c:v>7.5</c:v>
                </c:pt>
                <c:pt idx="59">
                  <c:v>8</c:v>
                </c:pt>
                <c:pt idx="69">
                  <c:v>12.877307274701419</c:v>
                </c:pt>
                <c:pt idx="70">
                  <c:v>8.9367253750815401</c:v>
                </c:pt>
                <c:pt idx="71">
                  <c:v>11.6858761476851</c:v>
                </c:pt>
                <c:pt idx="72">
                  <c:v>10.470490440565261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668736"/>
        <c:axId val="293667056"/>
      </c:lineChart>
      <c:catAx>
        <c:axId val="29366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667056"/>
        <c:crosses val="autoZero"/>
        <c:auto val="1"/>
        <c:lblAlgn val="ctr"/>
        <c:lblOffset val="100"/>
        <c:noMultiLvlLbl val="0"/>
      </c:catAx>
      <c:valAx>
        <c:axId val="293667056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66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33487863825446"/>
          <c:y val="5.9784904935663533E-2"/>
          <c:w val="0.21727942532087705"/>
          <c:h val="0.880658648614045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Rice, UK, Black Sea, Mediterranean Sea, Persian Gulf &amp; India,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'Rice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(Adjusted)'!$C$7:$C$107</c:f>
              <c:numCache>
                <c:formatCode>_(* #,##0.0000_);_(* \(#,##0.0000\);_(* "-"??_);_(@_)</c:formatCode>
                <c:ptCount val="92"/>
                <c:pt idx="14">
                  <c:v>14.103197323697373</c:v>
                </c:pt>
                <c:pt idx="15">
                  <c:v>14.615357807625735</c:v>
                </c:pt>
                <c:pt idx="16">
                  <c:v>10.76402200324431</c:v>
                </c:pt>
                <c:pt idx="17">
                  <c:v>11.443868777449964</c:v>
                </c:pt>
                <c:pt idx="18">
                  <c:v>9.0114227349071232</c:v>
                </c:pt>
                <c:pt idx="19">
                  <c:v>11.128935267555438</c:v>
                </c:pt>
                <c:pt idx="20">
                  <c:v>13.369819123129771</c:v>
                </c:pt>
                <c:pt idx="21">
                  <c:v>12.898024026982984</c:v>
                </c:pt>
                <c:pt idx="22">
                  <c:v>12.259460966998478</c:v>
                </c:pt>
                <c:pt idx="23">
                  <c:v>12.159438326708802</c:v>
                </c:pt>
                <c:pt idx="24">
                  <c:v>11.350700359198783</c:v>
                </c:pt>
                <c:pt idx="25">
                  <c:v>13.73</c:v>
                </c:pt>
                <c:pt idx="26">
                  <c:v>13.58</c:v>
                </c:pt>
                <c:pt idx="27">
                  <c:v>14.64</c:v>
                </c:pt>
                <c:pt idx="28">
                  <c:v>12.29</c:v>
                </c:pt>
                <c:pt idx="29">
                  <c:v>10.67</c:v>
                </c:pt>
                <c:pt idx="30">
                  <c:v>10.58</c:v>
                </c:pt>
                <c:pt idx="31">
                  <c:v>10.19</c:v>
                </c:pt>
                <c:pt idx="32">
                  <c:v>10</c:v>
                </c:pt>
                <c:pt idx="33">
                  <c:v>9.92</c:v>
                </c:pt>
                <c:pt idx="34">
                  <c:v>10.33</c:v>
                </c:pt>
                <c:pt idx="35">
                  <c:v>8.9499999999999993</c:v>
                </c:pt>
                <c:pt idx="36">
                  <c:v>9.06</c:v>
                </c:pt>
                <c:pt idx="37">
                  <c:v>10.55</c:v>
                </c:pt>
                <c:pt idx="38">
                  <c:v>10.48</c:v>
                </c:pt>
                <c:pt idx="39">
                  <c:v>10.15</c:v>
                </c:pt>
                <c:pt idx="40">
                  <c:v>9.52</c:v>
                </c:pt>
                <c:pt idx="41">
                  <c:v>8.64</c:v>
                </c:pt>
                <c:pt idx="42">
                  <c:v>7.98</c:v>
                </c:pt>
                <c:pt idx="43">
                  <c:v>8.1999999999999993</c:v>
                </c:pt>
                <c:pt idx="44">
                  <c:v>8.14</c:v>
                </c:pt>
                <c:pt idx="45">
                  <c:v>7.82</c:v>
                </c:pt>
                <c:pt idx="46">
                  <c:v>7.48</c:v>
                </c:pt>
                <c:pt idx="47">
                  <c:v>7.47</c:v>
                </c:pt>
                <c:pt idx="48">
                  <c:v>7.46</c:v>
                </c:pt>
                <c:pt idx="49">
                  <c:v>8.17</c:v>
                </c:pt>
                <c:pt idx="50">
                  <c:v>8.56</c:v>
                </c:pt>
                <c:pt idx="51">
                  <c:v>9.0299999999999994</c:v>
                </c:pt>
                <c:pt idx="52">
                  <c:v>8.89</c:v>
                </c:pt>
                <c:pt idx="53">
                  <c:v>7.85</c:v>
                </c:pt>
                <c:pt idx="54">
                  <c:v>7.62</c:v>
                </c:pt>
                <c:pt idx="55">
                  <c:v>7.3</c:v>
                </c:pt>
                <c:pt idx="56">
                  <c:v>7.45</c:v>
                </c:pt>
                <c:pt idx="57">
                  <c:v>8.17</c:v>
                </c:pt>
                <c:pt idx="58">
                  <c:v>8.82</c:v>
                </c:pt>
                <c:pt idx="59">
                  <c:v>8.7100000000000009</c:v>
                </c:pt>
                <c:pt idx="63">
                  <c:v>8.7200000000000006</c:v>
                </c:pt>
                <c:pt idx="64">
                  <c:v>7.83</c:v>
                </c:pt>
                <c:pt idx="65">
                  <c:v>8.27</c:v>
                </c:pt>
                <c:pt idx="66">
                  <c:v>8.68</c:v>
                </c:pt>
                <c:pt idx="67">
                  <c:v>9.68</c:v>
                </c:pt>
                <c:pt idx="68">
                  <c:v>9.15</c:v>
                </c:pt>
                <c:pt idx="69">
                  <c:v>8.83</c:v>
                </c:pt>
                <c:pt idx="70">
                  <c:v>8.59</c:v>
                </c:pt>
                <c:pt idx="71">
                  <c:v>9.27</c:v>
                </c:pt>
                <c:pt idx="72">
                  <c:v>11.3</c:v>
                </c:pt>
                <c:pt idx="73">
                  <c:v>10.56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'Rice (Adjusted)'!$D$6</c:f>
              <c:strCache>
                <c:ptCount val="1"/>
                <c:pt idx="0">
                  <c:v>UK, Foreign and Colonial Exports,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(Adjusted)'!$D$7:$D$107</c:f>
              <c:numCache>
                <c:formatCode>_(* #,##0.0000_);_(* \(#,##0.0000\);_(* "-"??_);_(@_)</c:formatCode>
                <c:ptCount val="92"/>
                <c:pt idx="14">
                  <c:v>14.083332297480391</c:v>
                </c:pt>
                <c:pt idx="15">
                  <c:v>14.583347696844182</c:v>
                </c:pt>
                <c:pt idx="16">
                  <c:v>10.749996103844911</c:v>
                </c:pt>
                <c:pt idx="17">
                  <c:v>11.416666201915149</c:v>
                </c:pt>
                <c:pt idx="18">
                  <c:v>9.0003851084722193</c:v>
                </c:pt>
                <c:pt idx="19">
                  <c:v>11.166668831028288</c:v>
                </c:pt>
                <c:pt idx="20">
                  <c:v>13.416668797790452</c:v>
                </c:pt>
                <c:pt idx="21">
                  <c:v>12.916661827860839</c:v>
                </c:pt>
                <c:pt idx="22">
                  <c:v>12.249999803466691</c:v>
                </c:pt>
                <c:pt idx="23">
                  <c:v>12.166663554019983</c:v>
                </c:pt>
                <c:pt idx="24">
                  <c:v>11.33333928810683</c:v>
                </c:pt>
                <c:pt idx="25">
                  <c:v>13.749998209546128</c:v>
                </c:pt>
                <c:pt idx="26">
                  <c:v>13.583331600763561</c:v>
                </c:pt>
                <c:pt idx="27">
                  <c:v>14.666666666666666</c:v>
                </c:pt>
                <c:pt idx="28">
                  <c:v>12.333336599034006</c:v>
                </c:pt>
                <c:pt idx="29">
                  <c:v>10.666660826449178</c:v>
                </c:pt>
                <c:pt idx="30">
                  <c:v>10.583330332385035</c:v>
                </c:pt>
                <c:pt idx="31">
                  <c:v>12.308464509066583</c:v>
                </c:pt>
                <c:pt idx="32">
                  <c:v>12.607540507999966</c:v>
                </c:pt>
                <c:pt idx="33">
                  <c:v>11.740083761545105</c:v>
                </c:pt>
                <c:pt idx="34">
                  <c:v>12.304800755710003</c:v>
                </c:pt>
                <c:pt idx="35">
                  <c:v>11.003075858577642</c:v>
                </c:pt>
                <c:pt idx="36">
                  <c:v>10.740606916430709</c:v>
                </c:pt>
                <c:pt idx="37">
                  <c:v>12.572755452258406</c:v>
                </c:pt>
                <c:pt idx="38">
                  <c:v>12.646175552901486</c:v>
                </c:pt>
                <c:pt idx="39">
                  <c:v>12.111918445967746</c:v>
                </c:pt>
                <c:pt idx="40">
                  <c:v>11.634829111836106</c:v>
                </c:pt>
                <c:pt idx="41">
                  <c:v>10.288512958339531</c:v>
                </c:pt>
                <c:pt idx="42">
                  <c:v>9.5062068139602491</c:v>
                </c:pt>
                <c:pt idx="43">
                  <c:v>9.5958721210596725</c:v>
                </c:pt>
                <c:pt idx="44">
                  <c:v>9.7721508526520022</c:v>
                </c:pt>
                <c:pt idx="45">
                  <c:v>9.3573422499581032</c:v>
                </c:pt>
                <c:pt idx="46">
                  <c:v>8.9676127712744922</c:v>
                </c:pt>
                <c:pt idx="47">
                  <c:v>8.7418012930277929</c:v>
                </c:pt>
                <c:pt idx="48">
                  <c:v>8.6611977300167062</c:v>
                </c:pt>
                <c:pt idx="49">
                  <c:v>9.3321192957478338</c:v>
                </c:pt>
                <c:pt idx="50">
                  <c:v>9.4521901011252414</c:v>
                </c:pt>
                <c:pt idx="51">
                  <c:v>9.3965995453857776</c:v>
                </c:pt>
                <c:pt idx="52">
                  <c:v>9.4978037904675379</c:v>
                </c:pt>
                <c:pt idx="53">
                  <c:v>8.3867810398369187</c:v>
                </c:pt>
                <c:pt idx="54">
                  <c:v>7.809083358995176</c:v>
                </c:pt>
                <c:pt idx="55">
                  <c:v>7.2604343093216919</c:v>
                </c:pt>
                <c:pt idx="56">
                  <c:v>7.6481463236529912</c:v>
                </c:pt>
                <c:pt idx="57">
                  <c:v>8.9566427212584117</c:v>
                </c:pt>
                <c:pt idx="58">
                  <c:v>9.4003178271388634</c:v>
                </c:pt>
                <c:pt idx="59">
                  <c:v>8.9073878527984593</c:v>
                </c:pt>
                <c:pt idx="63">
                  <c:v>9.4880053938202362</c:v>
                </c:pt>
                <c:pt idx="64">
                  <c:v>8.2194860417162161</c:v>
                </c:pt>
                <c:pt idx="65">
                  <c:v>8.8014826096277119</c:v>
                </c:pt>
                <c:pt idx="66">
                  <c:v>9.8068788451468585</c:v>
                </c:pt>
                <c:pt idx="67">
                  <c:v>10.772960587892795</c:v>
                </c:pt>
                <c:pt idx="68">
                  <c:v>10.139318228440866</c:v>
                </c:pt>
                <c:pt idx="69">
                  <c:v>9.9958562243520337</c:v>
                </c:pt>
                <c:pt idx="70">
                  <c:v>9.2642174317075643</c:v>
                </c:pt>
                <c:pt idx="71">
                  <c:v>9.7612240425888448</c:v>
                </c:pt>
                <c:pt idx="72">
                  <c:v>12.473587498789112</c:v>
                </c:pt>
                <c:pt idx="73">
                  <c:v>11.782113793657098</c:v>
                </c:pt>
                <c:pt idx="74">
                  <c:v>10.796807864392488</c:v>
                </c:pt>
                <c:pt idx="75">
                  <c:v>11.850360161990087</c:v>
                </c:pt>
                <c:pt idx="76">
                  <c:v>16.720349164565679</c:v>
                </c:pt>
                <c:pt idx="77">
                  <c:v>20.354333570002964</c:v>
                </c:pt>
                <c:pt idx="78">
                  <c:v>32.643729189789127</c:v>
                </c:pt>
                <c:pt idx="79">
                  <c:v>27.625954141957074</c:v>
                </c:pt>
                <c:pt idx="80">
                  <c:v>43.575690247028042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'Rice (Adjusted)'!$L$6</c:f>
              <c:strCache>
                <c:ptCount val="1"/>
                <c:pt idx="0">
                  <c:v>Egypt, Exports,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(Adjusted)'!$L$7:$L$107</c:f>
              <c:numCache>
                <c:formatCode>0.0000</c:formatCode>
                <c:ptCount val="92"/>
                <c:pt idx="45">
                  <c:v>9.8499170305676849</c:v>
                </c:pt>
                <c:pt idx="46">
                  <c:v>9.1886494158030239</c:v>
                </c:pt>
                <c:pt idx="47">
                  <c:v>9.0157976071784649</c:v>
                </c:pt>
                <c:pt idx="48">
                  <c:v>9.2510610176958661</c:v>
                </c:pt>
                <c:pt idx="49">
                  <c:v>9.3508204323321671</c:v>
                </c:pt>
                <c:pt idx="50">
                  <c:v>10.826181264666708</c:v>
                </c:pt>
                <c:pt idx="51">
                  <c:v>9.1605333792154156</c:v>
                </c:pt>
                <c:pt idx="52">
                  <c:v>9.5057302886686781</c:v>
                </c:pt>
                <c:pt idx="53">
                  <c:v>7.3823674726807713</c:v>
                </c:pt>
                <c:pt idx="54">
                  <c:v>6.3410779205041203</c:v>
                </c:pt>
                <c:pt idx="55">
                  <c:v>6.1156184958091915</c:v>
                </c:pt>
                <c:pt idx="56">
                  <c:v>5.9190115123214202</c:v>
                </c:pt>
                <c:pt idx="57">
                  <c:v>7.1895670826833067</c:v>
                </c:pt>
                <c:pt idx="58">
                  <c:v>7.2772048497331712</c:v>
                </c:pt>
                <c:pt idx="59">
                  <c:v>7.8532104182601339</c:v>
                </c:pt>
                <c:pt idx="60">
                  <c:v>8.0524861060870148</c:v>
                </c:pt>
                <c:pt idx="61">
                  <c:v>7.484460864063629</c:v>
                </c:pt>
                <c:pt idx="62">
                  <c:v>6.9495219533720665</c:v>
                </c:pt>
                <c:pt idx="63">
                  <c:v>8.357512966940849</c:v>
                </c:pt>
                <c:pt idx="64">
                  <c:v>7.5481194971215713</c:v>
                </c:pt>
                <c:pt idx="65">
                  <c:v>7.8418128583329247</c:v>
                </c:pt>
                <c:pt idx="66">
                  <c:v>8.1843705339742758</c:v>
                </c:pt>
                <c:pt idx="67">
                  <c:v>9.0576281755196302</c:v>
                </c:pt>
                <c:pt idx="68">
                  <c:v>8.8749446010197701</c:v>
                </c:pt>
                <c:pt idx="69">
                  <c:v>8.1426815712569702</c:v>
                </c:pt>
                <c:pt idx="70">
                  <c:v>8.0960159362549788</c:v>
                </c:pt>
                <c:pt idx="71">
                  <c:v>8.7918264733395688</c:v>
                </c:pt>
                <c:pt idx="72">
                  <c:v>10.798970648185893</c:v>
                </c:pt>
                <c:pt idx="73">
                  <c:v>9.4288302553810457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'Rice (Adjusted)'!$N$6</c:f>
              <c:strCache>
                <c:ptCount val="1"/>
                <c:pt idx="0">
                  <c:v>Palestine,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(Adjusted)'!$N$7:$N$107</c:f>
              <c:numCache>
                <c:formatCode>0.0000</c:formatCode>
                <c:ptCount val="92"/>
                <c:pt idx="33">
                  <c:v>18.82109374081001</c:v>
                </c:pt>
                <c:pt idx="34">
                  <c:v>16.933690934114416</c:v>
                </c:pt>
                <c:pt idx="35">
                  <c:v>16.503803127740028</c:v>
                </c:pt>
                <c:pt idx="36">
                  <c:v>18.4000090406903</c:v>
                </c:pt>
                <c:pt idx="37">
                  <c:v>19.147536156170954</c:v>
                </c:pt>
                <c:pt idx="39">
                  <c:v>20.200702379800049</c:v>
                </c:pt>
                <c:pt idx="40">
                  <c:v>17.188880090750949</c:v>
                </c:pt>
                <c:pt idx="41">
                  <c:v>16.115297648731701</c:v>
                </c:pt>
                <c:pt idx="42">
                  <c:v>14.269516885032035</c:v>
                </c:pt>
                <c:pt idx="43">
                  <c:v>16.065143689245684</c:v>
                </c:pt>
                <c:pt idx="44">
                  <c:v>14.153271525240692</c:v>
                </c:pt>
                <c:pt idx="45">
                  <c:v>14.999999999999996</c:v>
                </c:pt>
                <c:pt idx="46">
                  <c:v>11.749999999999991</c:v>
                </c:pt>
                <c:pt idx="47">
                  <c:v>11.636363636363624</c:v>
                </c:pt>
                <c:pt idx="48">
                  <c:v>20.376470588235307</c:v>
                </c:pt>
                <c:pt idx="49">
                  <c:v>21</c:v>
                </c:pt>
                <c:pt idx="50">
                  <c:v>10.761904761904756</c:v>
                </c:pt>
                <c:pt idx="52">
                  <c:v>12.000000000000005</c:v>
                </c:pt>
                <c:pt idx="53">
                  <c:v>12.000000000000005</c:v>
                </c:pt>
                <c:pt idx="54">
                  <c:v>11.833333333333345</c:v>
                </c:pt>
                <c:pt idx="55">
                  <c:v>9.9999999999999893</c:v>
                </c:pt>
                <c:pt idx="56">
                  <c:v>9.9999999999999893</c:v>
                </c:pt>
                <c:pt idx="57">
                  <c:v>9.9999999999999893</c:v>
                </c:pt>
                <c:pt idx="58">
                  <c:v>15.434782608695654</c:v>
                </c:pt>
                <c:pt idx="59">
                  <c:v>10.833333333333323</c:v>
                </c:pt>
                <c:pt idx="60">
                  <c:v>10.47126436781609</c:v>
                </c:pt>
                <c:pt idx="61">
                  <c:v>9.0781843631273755</c:v>
                </c:pt>
                <c:pt idx="62">
                  <c:v>9.4601287766220938</c:v>
                </c:pt>
                <c:pt idx="63">
                  <c:v>10.315265486725673</c:v>
                </c:pt>
                <c:pt idx="64">
                  <c:v>10.264550264550266</c:v>
                </c:pt>
                <c:pt idx="65">
                  <c:v>11.766467065868255</c:v>
                </c:pt>
                <c:pt idx="66">
                  <c:v>12.621195717550828</c:v>
                </c:pt>
                <c:pt idx="67">
                  <c:v>12.762706579357662</c:v>
                </c:pt>
                <c:pt idx="69">
                  <c:v>12.969326431036528</c:v>
                </c:pt>
                <c:pt idx="70">
                  <c:v>11.633117402431214</c:v>
                </c:pt>
                <c:pt idx="71">
                  <c:v>15.425945816923264</c:v>
                </c:pt>
                <c:pt idx="72">
                  <c:v>15.999999999999993</c:v>
                </c:pt>
                <c:pt idx="73">
                  <c:v>12.368935293152749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'Rice (Adjusted)'!$O$6</c:f>
              <c:strCache>
                <c:ptCount val="1"/>
                <c:pt idx="0">
                  <c:v>Palestine,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(Adjusted)'!$O$7:$O$107</c:f>
              <c:numCache>
                <c:formatCode>0.0000</c:formatCode>
                <c:ptCount val="92"/>
                <c:pt idx="18">
                  <c:v>20.159684863806209</c:v>
                </c:pt>
                <c:pt idx="40">
                  <c:v>19.472422879812804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'Rice (Adjusted)'!$Q$6</c:f>
              <c:strCache>
                <c:ptCount val="1"/>
                <c:pt idx="0">
                  <c:v>Damascus,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(Adjusted)'!$Q$7:$Q$107</c:f>
              <c:numCache>
                <c:formatCode>0.0000</c:formatCode>
                <c:ptCount val="92"/>
                <c:pt idx="42" formatCode="_(* #,##0.0000_);_(* \(#,##0.0000\);_(* &quot;-&quot;??_);_(@_)">
                  <c:v>14.227131471408619</c:v>
                </c:pt>
                <c:pt idx="47" formatCode="_(* #,##0.0000_);_(* \(#,##0.0000\);_(* &quot;-&quot;??_);_(@_)">
                  <c:v>14.546115307738233</c:v>
                </c:pt>
                <c:pt idx="48" formatCode="_(* #,##0.0000_);_(* \(#,##0.0000\);_(* &quot;-&quot;??_);_(@_)">
                  <c:v>29.014177382129905</c:v>
                </c:pt>
                <c:pt idx="49" formatCode="_(* #,##0.0000_);_(* \(#,##0.0000\);_(* &quot;-&quot;??_);_(@_)">
                  <c:v>15.263140484932686</c:v>
                </c:pt>
                <c:pt idx="50" formatCode="_(* #,##0.0000_);_(* \(#,##0.0000\);_(* &quot;-&quot;??_);_(@_)">
                  <c:v>19.012410879324001</c:v>
                </c:pt>
                <c:pt idx="51" formatCode="_(* #,##0.0000_);_(* \(#,##0.0000\);_(* &quot;-&quot;??_);_(@_)">
                  <c:v>16.377649325626205</c:v>
                </c:pt>
                <c:pt idx="52" formatCode="_(* #,##0.0000_);_(* \(#,##0.0000\);_(* &quot;-&quot;??_);_(@_)">
                  <c:v>17.066666666666666</c:v>
                </c:pt>
                <c:pt idx="53" formatCode="_(* #,##0.0000_);_(* \(#,##0.0000\);_(* &quot;-&quot;??_);_(@_)">
                  <c:v>19.106759016001909</c:v>
                </c:pt>
                <c:pt idx="54" formatCode="_(* #,##0.0000_);_(* \(#,##0.0000\);_(* &quot;-&quot;??_);_(@_)">
                  <c:v>16.279069767441861</c:v>
                </c:pt>
                <c:pt idx="58" formatCode="_(* #,##0.0000_);_(* \(#,##0.0000\);_(* &quot;-&quot;??_);_(@_)">
                  <c:v>16</c:v>
                </c:pt>
                <c:pt idx="61" formatCode="_(* #,##0.0000_);_(* \(#,##0.0000\);_(* &quot;-&quot;??_);_(@_)">
                  <c:v>15.925925925925926</c:v>
                </c:pt>
                <c:pt idx="62" formatCode="_(* #,##0.0000_);_(* \(#,##0.0000\);_(* &quot;-&quot;??_);_(@_)">
                  <c:v>16.279069767441861</c:v>
                </c:pt>
                <c:pt idx="63" formatCode="_(* #,##0.0000_);_(* \(#,##0.0000\);_(* &quot;-&quot;??_);_(@_)">
                  <c:v>16.5</c:v>
                </c:pt>
                <c:pt idx="64" formatCode="_(* #,##0.0000_);_(* \(#,##0.0000\);_(* &quot;-&quot;??_);_(@_)">
                  <c:v>14.761904761904763</c:v>
                </c:pt>
                <c:pt idx="68" formatCode="_(* #,##0.0000_);_(* \(#,##0.0000\);_(* &quot;-&quot;??_);_(@_)">
                  <c:v>20</c:v>
                </c:pt>
                <c:pt idx="69" formatCode="_(* #,##0.0000_);_(* \(#,##0.0000\);_(* &quot;-&quot;??_);_(@_)">
                  <c:v>20</c:v>
                </c:pt>
                <c:pt idx="70" formatCode="_(* #,##0.0000_);_(* \(#,##0.0000\);_(* &quot;-&quot;??_);_(@_)">
                  <c:v>20</c:v>
                </c:pt>
                <c:pt idx="71" formatCode="_(* #,##0.0000_);_(* \(#,##0.0000\);_(* &quot;-&quot;??_);_(@_)">
                  <c:v>20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'Rice (Adjusted)'!$R$6</c:f>
              <c:strCache>
                <c:ptCount val="1"/>
                <c:pt idx="0">
                  <c:v>Beirut,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(Adjusted)'!$R$7:$R$107</c:f>
              <c:numCache>
                <c:formatCode>0.0000</c:formatCode>
                <c:ptCount val="92"/>
                <c:pt idx="31">
                  <c:v>15.65625</c:v>
                </c:pt>
                <c:pt idx="32">
                  <c:v>16.78125</c:v>
                </c:pt>
                <c:pt idx="33">
                  <c:v>18.291666666666664</c:v>
                </c:pt>
                <c:pt idx="36">
                  <c:v>11</c:v>
                </c:pt>
                <c:pt idx="38">
                  <c:v>16.48544423440454</c:v>
                </c:pt>
                <c:pt idx="39">
                  <c:v>13.999321573948439</c:v>
                </c:pt>
                <c:pt idx="41">
                  <c:v>11.87648456057007</c:v>
                </c:pt>
                <c:pt idx="42">
                  <c:v>12.022194821208386</c:v>
                </c:pt>
                <c:pt idx="43">
                  <c:v>11.750096824167313</c:v>
                </c:pt>
                <c:pt idx="44">
                  <c:v>10</c:v>
                </c:pt>
                <c:pt idx="45">
                  <c:v>10</c:v>
                </c:pt>
                <c:pt idx="46">
                  <c:v>9.25</c:v>
                </c:pt>
                <c:pt idx="47">
                  <c:v>8.25</c:v>
                </c:pt>
                <c:pt idx="48">
                  <c:v>9.3333333333333339</c:v>
                </c:pt>
                <c:pt idx="49">
                  <c:v>8.5</c:v>
                </c:pt>
                <c:pt idx="50">
                  <c:v>8.75</c:v>
                </c:pt>
                <c:pt idx="51">
                  <c:v>8.5</c:v>
                </c:pt>
                <c:pt idx="52">
                  <c:v>9</c:v>
                </c:pt>
                <c:pt idx="53">
                  <c:v>9.5</c:v>
                </c:pt>
                <c:pt idx="54">
                  <c:v>7.25</c:v>
                </c:pt>
                <c:pt idx="55">
                  <c:v>10.120481927710843</c:v>
                </c:pt>
                <c:pt idx="56">
                  <c:v>9</c:v>
                </c:pt>
                <c:pt idx="57">
                  <c:v>9</c:v>
                </c:pt>
                <c:pt idx="58">
                  <c:v>9.25</c:v>
                </c:pt>
                <c:pt idx="59">
                  <c:v>8.5</c:v>
                </c:pt>
                <c:pt idx="60">
                  <c:v>9</c:v>
                </c:pt>
                <c:pt idx="61">
                  <c:v>8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'Rice (Adjusted)'!$S$6</c:f>
              <c:strCache>
                <c:ptCount val="1"/>
                <c:pt idx="0">
                  <c:v>Turkey,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(Adjusted)'!$S$7:$S$107</c:f>
              <c:numCache>
                <c:formatCode>0.0000</c:formatCode>
                <c:ptCount val="92"/>
                <c:pt idx="70">
                  <c:v>10.015331440338924</c:v>
                </c:pt>
                <c:pt idx="71">
                  <c:v>10.585101642720639</c:v>
                </c:pt>
              </c:numCache>
            </c:numRef>
          </c:val>
          <c:smooth val="0"/>
        </c:ser>
        <c:ser>
          <c:idx val="12"/>
          <c:order val="8"/>
          <c:tx>
            <c:strRef>
              <c:f>'Rice (Adjusted)'!$T$6</c:f>
              <c:strCache>
                <c:ptCount val="1"/>
                <c:pt idx="0">
                  <c:v>Turkey,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(Adjusted)'!$T$7:$T$107</c:f>
              <c:numCache>
                <c:formatCode>0.0000</c:formatCode>
                <c:ptCount val="92"/>
                <c:pt idx="71">
                  <c:v>3.4770514603616132</c:v>
                </c:pt>
              </c:numCache>
            </c:numRef>
          </c:val>
          <c:smooth val="0"/>
        </c:ser>
        <c:ser>
          <c:idx val="13"/>
          <c:order val="9"/>
          <c:tx>
            <c:strRef>
              <c:f>'Rice (Adjusted)'!$U$6</c:f>
              <c:strCache>
                <c:ptCount val="1"/>
                <c:pt idx="0">
                  <c:v>Constantinople,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(Adjusted)'!$U$7:$U$107</c:f>
              <c:numCache>
                <c:formatCode>0.0000</c:formatCode>
                <c:ptCount val="92"/>
                <c:pt idx="57">
                  <c:v>15</c:v>
                </c:pt>
                <c:pt idx="67">
                  <c:v>14.251401120896718</c:v>
                </c:pt>
                <c:pt idx="70">
                  <c:v>9.0243902439024382</c:v>
                </c:pt>
              </c:numCache>
            </c:numRef>
          </c:val>
          <c:smooth val="0"/>
        </c:ser>
        <c:ser>
          <c:idx val="14"/>
          <c:order val="10"/>
          <c:tx>
            <c:strRef>
              <c:f>'Rice (Adjusted)'!$V$6</c:f>
              <c:strCache>
                <c:ptCount val="1"/>
                <c:pt idx="0">
                  <c:v>Constantinople,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(Adjusted)'!$V$7:$V$107</c:f>
              <c:numCache>
                <c:formatCode>0.0000</c:formatCode>
                <c:ptCount val="92"/>
                <c:pt idx="45">
                  <c:v>17.389285705705277</c:v>
                </c:pt>
                <c:pt idx="46">
                  <c:v>13.81818181818182</c:v>
                </c:pt>
              </c:numCache>
            </c:numRef>
          </c:val>
          <c:smooth val="0"/>
        </c:ser>
        <c:ser>
          <c:idx val="15"/>
          <c:order val="11"/>
          <c:tx>
            <c:strRef>
              <c:f>'Rice (Adjusted)'!$W$6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(Adjusted)'!$W$7:$W$107</c:f>
              <c:numCache>
                <c:formatCode>0.0000</c:formatCode>
                <c:ptCount val="92"/>
                <c:pt idx="43">
                  <c:v>15</c:v>
                </c:pt>
                <c:pt idx="44">
                  <c:v>13</c:v>
                </c:pt>
                <c:pt idx="45">
                  <c:v>11.493670886075948</c:v>
                </c:pt>
                <c:pt idx="46">
                  <c:v>13.280106453759149</c:v>
                </c:pt>
                <c:pt idx="47">
                  <c:v>11.994261119081779</c:v>
                </c:pt>
                <c:pt idx="48">
                  <c:v>12.009569377990431</c:v>
                </c:pt>
                <c:pt idx="49">
                  <c:v>12.871287128712872</c:v>
                </c:pt>
                <c:pt idx="50">
                  <c:v>12.79954571266326</c:v>
                </c:pt>
                <c:pt idx="51">
                  <c:v>10.782208588957056</c:v>
                </c:pt>
                <c:pt idx="52">
                  <c:v>12</c:v>
                </c:pt>
                <c:pt idx="53">
                  <c:v>12.006717044500419</c:v>
                </c:pt>
                <c:pt idx="54">
                  <c:v>11.994996873045654</c:v>
                </c:pt>
                <c:pt idx="55">
                  <c:v>12.004479283314671</c:v>
                </c:pt>
                <c:pt idx="56">
                  <c:v>12.005885237861698</c:v>
                </c:pt>
                <c:pt idx="57">
                  <c:v>13.99390243902439</c:v>
                </c:pt>
                <c:pt idx="58">
                  <c:v>13.969335604770016</c:v>
                </c:pt>
                <c:pt idx="59">
                  <c:v>13.965822038892162</c:v>
                </c:pt>
                <c:pt idx="60">
                  <c:v>11.843393148450245</c:v>
                </c:pt>
                <c:pt idx="61">
                  <c:v>9.9640933572710964</c:v>
                </c:pt>
                <c:pt idx="62">
                  <c:v>9.9933199732798919</c:v>
                </c:pt>
                <c:pt idx="63">
                  <c:v>9.9903753609239647</c:v>
                </c:pt>
                <c:pt idx="64">
                  <c:v>9.9970700263697623</c:v>
                </c:pt>
                <c:pt idx="65">
                  <c:v>10.016518004625041</c:v>
                </c:pt>
                <c:pt idx="66">
                  <c:v>10</c:v>
                </c:pt>
                <c:pt idx="67">
                  <c:v>10.397753860552177</c:v>
                </c:pt>
                <c:pt idx="68">
                  <c:v>11.541593160537387</c:v>
                </c:pt>
                <c:pt idx="69">
                  <c:v>11.135623869801085</c:v>
                </c:pt>
              </c:numCache>
            </c:numRef>
          </c:val>
          <c:smooth val="0"/>
        </c:ser>
        <c:ser>
          <c:idx val="16"/>
          <c:order val="12"/>
          <c:tx>
            <c:strRef>
              <c:f>'Rice (Adjusted)'!$X$6</c:f>
              <c:strCache>
                <c:ptCount val="1"/>
                <c:pt idx="0">
                  <c:v>Trebizond (Persia),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(Adjusted)'!$X$7:$X$107</c:f>
              <c:numCache>
                <c:formatCode>0.0000</c:formatCode>
                <c:ptCount val="92"/>
                <c:pt idx="43">
                  <c:v>40</c:v>
                </c:pt>
                <c:pt idx="44">
                  <c:v>40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'Rice (Adjusted)'!$Z$6</c:f>
              <c:strCache>
                <c:ptCount val="1"/>
                <c:pt idx="0">
                  <c:v>Izmir,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(Adjusted)'!$Z$7:$Z$107</c:f>
              <c:numCache>
                <c:formatCode>0.0000</c:formatCode>
                <c:ptCount val="92"/>
                <c:pt idx="42">
                  <c:v>20</c:v>
                </c:pt>
                <c:pt idx="43">
                  <c:v>20.007376263185073</c:v>
                </c:pt>
                <c:pt idx="44">
                  <c:v>23.196855635786346</c:v>
                </c:pt>
                <c:pt idx="45">
                  <c:v>20.000154618054751</c:v>
                </c:pt>
                <c:pt idx="46">
                  <c:v>18.000000000000004</c:v>
                </c:pt>
                <c:pt idx="48">
                  <c:v>16</c:v>
                </c:pt>
                <c:pt idx="50">
                  <c:v>15.999940062784233</c:v>
                </c:pt>
                <c:pt idx="51">
                  <c:v>16</c:v>
                </c:pt>
                <c:pt idx="52">
                  <c:v>13.333333333333332</c:v>
                </c:pt>
                <c:pt idx="54">
                  <c:v>15.999858639761101</c:v>
                </c:pt>
                <c:pt idx="65">
                  <c:v>7.7540084388185653</c:v>
                </c:pt>
                <c:pt idx="66">
                  <c:v>10.599746789654549</c:v>
                </c:pt>
                <c:pt idx="67">
                  <c:v>11.286415042921378</c:v>
                </c:pt>
                <c:pt idx="68">
                  <c:v>12.933288500336248</c:v>
                </c:pt>
                <c:pt idx="70">
                  <c:v>12.380202179335697</c:v>
                </c:pt>
              </c:numCache>
            </c:numRef>
          </c:val>
          <c:smooth val="0"/>
        </c:ser>
        <c:ser>
          <c:idx val="19"/>
          <c:order val="14"/>
          <c:tx>
            <c:strRef>
              <c:f>'Rice (Adjusted)'!$AA$6</c:f>
              <c:strCache>
                <c:ptCount val="1"/>
                <c:pt idx="0">
                  <c:v>Alexandretta,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(Adjusted)'!$AA$7:$AA$107</c:f>
              <c:numCache>
                <c:formatCode>0.0000</c:formatCode>
                <c:ptCount val="92"/>
                <c:pt idx="38" formatCode="_(* #,##0.0000_);_(* \(#,##0.0000\);_(* &quot;-&quot;??_);_(@_)">
                  <c:v>17.678571428571427</c:v>
                </c:pt>
                <c:pt idx="39" formatCode="_(* #,##0.0000_);_(* \(#,##0.0000\);_(* &quot;-&quot;??_);_(@_)">
                  <c:v>21.698924731182796</c:v>
                </c:pt>
                <c:pt idx="40" formatCode="_(* #,##0.0000_);_(* \(#,##0.0000\);_(* &quot;-&quot;??_);_(@_)">
                  <c:v>22.571428571428573</c:v>
                </c:pt>
                <c:pt idx="41" formatCode="_(* #,##0.0000_);_(* \(#,##0.0000\);_(* &quot;-&quot;??_);_(@_)">
                  <c:v>22.671703296703299</c:v>
                </c:pt>
                <c:pt idx="42" formatCode="_(* #,##0.0000_);_(* \(#,##0.0000\);_(* &quot;-&quot;??_);_(@_)">
                  <c:v>20.405953991880917</c:v>
                </c:pt>
                <c:pt idx="43" formatCode="_(* #,##0.0000_);_(* \(#,##0.0000\);_(* &quot;-&quot;??_);_(@_)">
                  <c:v>18.319008264462813</c:v>
                </c:pt>
                <c:pt idx="47" formatCode="_(* #,##0.0000_);_(* \(#,##0.0000\);_(* &quot;-&quot;??_);_(@_)">
                  <c:v>22.542271562766867</c:v>
                </c:pt>
                <c:pt idx="48" formatCode="_(* #,##0.0000_);_(* \(#,##0.0000\);_(* &quot;-&quot;??_);_(@_)">
                  <c:v>22.567357512953368</c:v>
                </c:pt>
                <c:pt idx="49" formatCode="_(* #,##0.0000_);_(* \(#,##0.0000\);_(* &quot;-&quot;??_);_(@_)">
                  <c:v>19.961928934010153</c:v>
                </c:pt>
                <c:pt idx="50" formatCode="_(* #,##0.0000_);_(* \(#,##0.0000\);_(* &quot;-&quot;??_);_(@_)">
                  <c:v>15.807807807807794</c:v>
                </c:pt>
                <c:pt idx="51" formatCode="_(* #,##0.0000_);_(* \(#,##0.0000\);_(* &quot;-&quot;??_);_(@_)">
                  <c:v>13.159999999999988</c:v>
                </c:pt>
                <c:pt idx="52" formatCode="_(* #,##0.0000_);_(* \(#,##0.0000\);_(* &quot;-&quot;??_);_(@_)">
                  <c:v>10.49374999999999</c:v>
                </c:pt>
                <c:pt idx="53" formatCode="_(* #,##0.0000_);_(* \(#,##0.0000\);_(* &quot;-&quot;??_);_(@_)">
                  <c:v>10.446985446985437</c:v>
                </c:pt>
                <c:pt idx="54" formatCode="_(* #,##0.0000_);_(* \(#,##0.0000\);_(* &quot;-&quot;??_);_(@_)">
                  <c:v>10.411371237458184</c:v>
                </c:pt>
                <c:pt idx="55" formatCode="_(* #,##0.0000_);_(* \(#,##0.0000\);_(* &quot;-&quot;??_);_(@_)">
                  <c:v>10.404896421845566</c:v>
                </c:pt>
                <c:pt idx="56" formatCode="_(* #,##0.0000_);_(* \(#,##0.0000\);_(* &quot;-&quot;??_);_(@_)">
                  <c:v>10.446153846153836</c:v>
                </c:pt>
                <c:pt idx="57" formatCode="_(* #,##0.0000_);_(* \(#,##0.0000\);_(* &quot;-&quot;??_);_(@_)">
                  <c:v>10.475330926594456</c:v>
                </c:pt>
                <c:pt idx="58" formatCode="_(* #,##0.0000_);_(* \(#,##0.0000\);_(* &quot;-&quot;??_);_(@_)">
                  <c:v>10.459183673469377</c:v>
                </c:pt>
                <c:pt idx="59" formatCode="_(* #,##0.0000_);_(* \(#,##0.0000\);_(* &quot;-&quot;??_);_(@_)">
                  <c:v>10.633898305084735</c:v>
                </c:pt>
                <c:pt idx="60" formatCode="_(* #,##0.0000_);_(* \(#,##0.0000\);_(* &quot;-&quot;??_);_(@_)">
                  <c:v>10.006433823529402</c:v>
                </c:pt>
                <c:pt idx="61" formatCode="_(* #,##0.0000_);_(* \(#,##0.0000\);_(* &quot;-&quot;??_);_(@_)">
                  <c:v>10.337423312883427</c:v>
                </c:pt>
                <c:pt idx="62" formatCode="_(* #,##0.0000_);_(* \(#,##0.0000\);_(* &quot;-&quot;??_);_(@_)">
                  <c:v>10.239591516103683</c:v>
                </c:pt>
                <c:pt idx="63" formatCode="_(* #,##0.0000_);_(* \(#,##0.0000\);_(* &quot;-&quot;??_);_(@_)">
                  <c:v>10.262308313155762</c:v>
                </c:pt>
                <c:pt idx="64" formatCode="_(* #,##0.0000_);_(* \(#,##0.0000\);_(* &quot;-&quot;??_);_(@_)">
                  <c:v>10.380132450331118</c:v>
                </c:pt>
                <c:pt idx="65" formatCode="_(* #,##0.0000_);_(* \(#,##0.0000\);_(* &quot;-&quot;??_);_(@_)">
                  <c:v>8.4763670064874805</c:v>
                </c:pt>
                <c:pt idx="66" formatCode="_(* #,##0.0000_);_(* \(#,##0.0000\);_(* &quot;-&quot;??_);_(@_)">
                  <c:v>10.306122448979583</c:v>
                </c:pt>
                <c:pt idx="67" formatCode="_(* #,##0.0000_);_(* \(#,##0.0000\);_(* &quot;-&quot;??_);_(@_)">
                  <c:v>10.281288723667895</c:v>
                </c:pt>
                <c:pt idx="68" formatCode="_(* #,##0.0000_);_(* \(#,##0.0000\);_(* &quot;-&quot;??_);_(@_)">
                  <c:v>10.361702127659566</c:v>
                </c:pt>
                <c:pt idx="69" formatCode="_(* #,##0.0000_);_(* \(#,##0.0000\);_(* &quot;-&quot;??_);_(@_)">
                  <c:v>10.229793977812987</c:v>
                </c:pt>
                <c:pt idx="70" formatCode="_(* #,##0.0000_);_(* \(#,##0.0000\);_(* &quot;-&quot;??_);_(@_)">
                  <c:v>10.165228113440186</c:v>
                </c:pt>
                <c:pt idx="71" formatCode="_(* #,##0.0000_);_(* \(#,##0.0000\);_(* &quot;-&quot;??_);_(@_)">
                  <c:v>10.001851851851853</c:v>
                </c:pt>
                <c:pt idx="72" formatCode="_(* #,##0.0000_);_(* \(#,##0.0000\);_(* &quot;-&quot;??_);_(@_)">
                  <c:v>9.9773684210526312</c:v>
                </c:pt>
                <c:pt idx="73" formatCode="_(* #,##0.0000_);_(* \(#,##0.0000\);_(* &quot;-&quot;??_);_(@_)">
                  <c:v>10.033946488294315</c:v>
                </c:pt>
              </c:numCache>
            </c:numRef>
          </c:val>
          <c:smooth val="0"/>
        </c:ser>
        <c:ser>
          <c:idx val="20"/>
          <c:order val="15"/>
          <c:tx>
            <c:strRef>
              <c:f>'Rice (Adjusted)'!$AL$6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(Adjusted)'!$AL$7:$AL$107</c:f>
              <c:numCache>
                <c:formatCode>0.0000</c:formatCode>
                <c:ptCount val="92"/>
                <c:pt idx="56">
                  <c:v>8.8595102040816336</c:v>
                </c:pt>
                <c:pt idx="57">
                  <c:v>11.623164179104478</c:v>
                </c:pt>
                <c:pt idx="58">
                  <c:v>8.7482947368421051</c:v>
                </c:pt>
                <c:pt idx="61">
                  <c:v>7.9998278632086297</c:v>
                </c:pt>
                <c:pt idx="62">
                  <c:v>7.9997294966947869</c:v>
                </c:pt>
                <c:pt idx="63">
                  <c:v>8.8888675408681177</c:v>
                </c:pt>
                <c:pt idx="64">
                  <c:v>8.3333385650294609</c:v>
                </c:pt>
                <c:pt idx="65">
                  <c:v>9.7778315767658057</c:v>
                </c:pt>
                <c:pt idx="66">
                  <c:v>12.333338542724823</c:v>
                </c:pt>
                <c:pt idx="67">
                  <c:v>14.673561100351616</c:v>
                </c:pt>
                <c:pt idx="68">
                  <c:v>20.168544925852192</c:v>
                </c:pt>
                <c:pt idx="69">
                  <c:v>11.666666666666668</c:v>
                </c:pt>
                <c:pt idx="70">
                  <c:v>9.1110879673179781</c:v>
                </c:pt>
                <c:pt idx="71">
                  <c:v>9.7902429389689907</c:v>
                </c:pt>
                <c:pt idx="72">
                  <c:v>10.141817551762973</c:v>
                </c:pt>
                <c:pt idx="73">
                  <c:v>10.467568138601312</c:v>
                </c:pt>
              </c:numCache>
            </c:numRef>
          </c:val>
          <c:smooth val="0"/>
        </c:ser>
        <c:ser>
          <c:idx val="21"/>
          <c:order val="16"/>
          <c:tx>
            <c:strRef>
              <c:f>'Rice (Adjusted)'!$AM$6</c:f>
              <c:strCache>
                <c:ptCount val="1"/>
                <c:pt idx="0">
                  <c:v>Muscat, Imports,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(Adjusted)'!$AM$7:$AM$107</c:f>
              <c:numCache>
                <c:formatCode>0.0000</c:formatCode>
                <c:ptCount val="92"/>
                <c:pt idx="34">
                  <c:v>11.65457332773846</c:v>
                </c:pt>
                <c:pt idx="35">
                  <c:v>9.8745878269952208</c:v>
                </c:pt>
                <c:pt idx="36">
                  <c:v>9.5305833164354006</c:v>
                </c:pt>
                <c:pt idx="37">
                  <c:v>11.141127683149382</c:v>
                </c:pt>
                <c:pt idx="38">
                  <c:v>11.62507962196112</c:v>
                </c:pt>
                <c:pt idx="39">
                  <c:v>10.39765027258078</c:v>
                </c:pt>
                <c:pt idx="40">
                  <c:v>8.2612386382281606</c:v>
                </c:pt>
                <c:pt idx="41">
                  <c:v>6.2103417605768394</c:v>
                </c:pt>
                <c:pt idx="42">
                  <c:v>7.1733731965018199</c:v>
                </c:pt>
                <c:pt idx="43">
                  <c:v>13.98493005447834</c:v>
                </c:pt>
                <c:pt idx="44">
                  <c:v>10.877768382583799</c:v>
                </c:pt>
                <c:pt idx="45">
                  <c:v>8.8044672720807799</c:v>
                </c:pt>
                <c:pt idx="46">
                  <c:v>7.6091931870859399</c:v>
                </c:pt>
                <c:pt idx="47">
                  <c:v>7.1303755519334402</c:v>
                </c:pt>
                <c:pt idx="48">
                  <c:v>6.9147762543710201</c:v>
                </c:pt>
                <c:pt idx="49">
                  <c:v>8.4689653801194194</c:v>
                </c:pt>
                <c:pt idx="50">
                  <c:v>9.2909464766590393</c:v>
                </c:pt>
                <c:pt idx="51">
                  <c:v>8.732066971983599</c:v>
                </c:pt>
                <c:pt idx="52">
                  <c:v>8.5830431744376607</c:v>
                </c:pt>
                <c:pt idx="53">
                  <c:v>7.7737239113500802</c:v>
                </c:pt>
                <c:pt idx="54">
                  <c:v>6.0999359975096601</c:v>
                </c:pt>
                <c:pt idx="55">
                  <c:v>6.2843833062896408</c:v>
                </c:pt>
                <c:pt idx="56">
                  <c:v>6.4896824690758006</c:v>
                </c:pt>
                <c:pt idx="57">
                  <c:v>8.4883682462058587</c:v>
                </c:pt>
                <c:pt idx="58">
                  <c:v>8.2129293582167389</c:v>
                </c:pt>
                <c:pt idx="59">
                  <c:v>8.3653735226384001</c:v>
                </c:pt>
                <c:pt idx="60">
                  <c:v>7.6468003735446999</c:v>
                </c:pt>
                <c:pt idx="61">
                  <c:v>8.6502093592495992</c:v>
                </c:pt>
                <c:pt idx="62">
                  <c:v>8.4346865857014599</c:v>
                </c:pt>
                <c:pt idx="63">
                  <c:v>9.3905605283740403</c:v>
                </c:pt>
                <c:pt idx="64">
                  <c:v>7.1564066075722002</c:v>
                </c:pt>
                <c:pt idx="65">
                  <c:v>7</c:v>
                </c:pt>
                <c:pt idx="66">
                  <c:v>8</c:v>
                </c:pt>
                <c:pt idx="67">
                  <c:v>9.166666666666659</c:v>
                </c:pt>
                <c:pt idx="68">
                  <c:v>9</c:v>
                </c:pt>
                <c:pt idx="69">
                  <c:v>9.1</c:v>
                </c:pt>
                <c:pt idx="70">
                  <c:v>10.122095671981779</c:v>
                </c:pt>
                <c:pt idx="71">
                  <c:v>11.107645722937161</c:v>
                </c:pt>
              </c:numCache>
            </c:numRef>
          </c:val>
          <c:smooth val="0"/>
        </c:ser>
        <c:ser>
          <c:idx val="22"/>
          <c:order val="17"/>
          <c:tx>
            <c:strRef>
              <c:f>'Rice (Adjusted)'!$AN$6</c:f>
              <c:strCache>
                <c:ptCount val="1"/>
                <c:pt idx="0">
                  <c:v>Muscat,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(Adjusted)'!$AN$7:$AN$107</c:f>
              <c:numCache>
                <c:formatCode>0.0000</c:formatCode>
                <c:ptCount val="92"/>
                <c:pt idx="39">
                  <c:v>6.8123248612692198</c:v>
                </c:pt>
                <c:pt idx="40">
                  <c:v>8.2602152795882606</c:v>
                </c:pt>
                <c:pt idx="41">
                  <c:v>7.0039624431505398</c:v>
                </c:pt>
                <c:pt idx="42">
                  <c:v>6.2182162870265802</c:v>
                </c:pt>
                <c:pt idx="43">
                  <c:v>7.7609016139056397</c:v>
                </c:pt>
                <c:pt idx="44">
                  <c:v>8.2319848787694401</c:v>
                </c:pt>
                <c:pt idx="45">
                  <c:v>8.77400857449088</c:v>
                </c:pt>
                <c:pt idx="46">
                  <c:v>7.6857266229251797</c:v>
                </c:pt>
                <c:pt idx="47">
                  <c:v>7.5692762195475201</c:v>
                </c:pt>
                <c:pt idx="48">
                  <c:v>6.9717797862170805</c:v>
                </c:pt>
                <c:pt idx="49">
                  <c:v>7.7125455037030601</c:v>
                </c:pt>
                <c:pt idx="50">
                  <c:v>8.3875657543932007</c:v>
                </c:pt>
                <c:pt idx="51">
                  <c:v>9.1593535456678605</c:v>
                </c:pt>
                <c:pt idx="52">
                  <c:v>8.97726746038642</c:v>
                </c:pt>
                <c:pt idx="53">
                  <c:v>8.1077711151666207</c:v>
                </c:pt>
                <c:pt idx="54">
                  <c:v>7.3195783243050201</c:v>
                </c:pt>
                <c:pt idx="70">
                  <c:v>9</c:v>
                </c:pt>
              </c:numCache>
            </c:numRef>
          </c:val>
          <c:smooth val="0"/>
        </c:ser>
        <c:ser>
          <c:idx val="23"/>
          <c:order val="18"/>
          <c:tx>
            <c:strRef>
              <c:f>'Rice (Adjusted)'!$AO$6</c:f>
              <c:strCache>
                <c:ptCount val="1"/>
                <c:pt idx="0">
                  <c:v>Mohammerah,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(Adjusted)'!$AO$7:$AO$107</c:f>
              <c:numCache>
                <c:formatCode>0.0000</c:formatCode>
                <c:ptCount val="92"/>
                <c:pt idx="50">
                  <c:v>5.9760683760683797</c:v>
                </c:pt>
                <c:pt idx="51">
                  <c:v>6.8736280965819994</c:v>
                </c:pt>
                <c:pt idx="52">
                  <c:v>10</c:v>
                </c:pt>
                <c:pt idx="53">
                  <c:v>6.6666666666666599</c:v>
                </c:pt>
                <c:pt idx="54">
                  <c:v>5.3303637713437197</c:v>
                </c:pt>
                <c:pt idx="55">
                  <c:v>5.0466321243523407</c:v>
                </c:pt>
                <c:pt idx="56">
                  <c:v>12.54861183321202</c:v>
                </c:pt>
                <c:pt idx="57">
                  <c:v>10.063752276867039</c:v>
                </c:pt>
                <c:pt idx="58">
                  <c:v>7.3509490137699993</c:v>
                </c:pt>
                <c:pt idx="59">
                  <c:v>7.7395136282030395</c:v>
                </c:pt>
                <c:pt idx="60">
                  <c:v>5.2297734627831804</c:v>
                </c:pt>
                <c:pt idx="61">
                  <c:v>6.94603903559128</c:v>
                </c:pt>
                <c:pt idx="62">
                  <c:v>7.6464323748668805</c:v>
                </c:pt>
                <c:pt idx="66">
                  <c:v>11.14818449460256</c:v>
                </c:pt>
                <c:pt idx="67">
                  <c:v>13.54736172917992</c:v>
                </c:pt>
                <c:pt idx="68">
                  <c:v>10.058018101647722</c:v>
                </c:pt>
                <c:pt idx="69">
                  <c:v>11.87147082549072</c:v>
                </c:pt>
                <c:pt idx="70">
                  <c:v>10.95896328293736</c:v>
                </c:pt>
                <c:pt idx="71">
                  <c:v>7.1235955056179803</c:v>
                </c:pt>
                <c:pt idx="72">
                  <c:v>11.915760869565219</c:v>
                </c:pt>
              </c:numCache>
            </c:numRef>
          </c:val>
          <c:smooth val="0"/>
        </c:ser>
        <c:ser>
          <c:idx val="24"/>
          <c:order val="19"/>
          <c:tx>
            <c:strRef>
              <c:f>'Rice (Adjusted)'!$AP$6</c:f>
              <c:strCache>
                <c:ptCount val="1"/>
                <c:pt idx="0">
                  <c:v>Mohammerah,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(Adjusted)'!$AP$7:$AP$107</c:f>
              <c:numCache>
                <c:formatCode>0.0000</c:formatCode>
                <c:ptCount val="92"/>
                <c:pt idx="51">
                  <c:v>6.6225165562913997</c:v>
                </c:pt>
                <c:pt idx="52">
                  <c:v>6.6666666666666599</c:v>
                </c:pt>
              </c:numCache>
            </c:numRef>
          </c:val>
          <c:smooth val="0"/>
        </c:ser>
        <c:ser>
          <c:idx val="25"/>
          <c:order val="20"/>
          <c:tx>
            <c:strRef>
              <c:f>'Rice (Adjusted)'!$AQ$6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(Adjusted)'!$AQ$7:$AQ$107</c:f>
              <c:numCache>
                <c:formatCode>0.0000</c:formatCode>
                <c:ptCount val="92"/>
                <c:pt idx="56">
                  <c:v>7.8431666666666597</c:v>
                </c:pt>
                <c:pt idx="57">
                  <c:v>10.833333333333339</c:v>
                </c:pt>
                <c:pt idx="58">
                  <c:v>7.5</c:v>
                </c:pt>
                <c:pt idx="59">
                  <c:v>8</c:v>
                </c:pt>
                <c:pt idx="66">
                  <c:v>9.7680551798755797</c:v>
                </c:pt>
                <c:pt idx="67">
                  <c:v>11.62276004854716</c:v>
                </c:pt>
                <c:pt idx="68">
                  <c:v>11.74997207293308</c:v>
                </c:pt>
                <c:pt idx="69">
                  <c:v>6.6531827166948796</c:v>
                </c:pt>
                <c:pt idx="70">
                  <c:v>10.772308825334481</c:v>
                </c:pt>
                <c:pt idx="71">
                  <c:v>10.5149856175188</c:v>
                </c:pt>
                <c:pt idx="72">
                  <c:v>12.9020545111918</c:v>
                </c:pt>
              </c:numCache>
            </c:numRef>
          </c:val>
          <c:smooth val="0"/>
        </c:ser>
        <c:ser>
          <c:idx val="26"/>
          <c:order val="21"/>
          <c:tx>
            <c:strRef>
              <c:f>'Rice (Adjusted)'!$AR$6</c:f>
              <c:strCache>
                <c:ptCount val="1"/>
                <c:pt idx="0">
                  <c:v>Lingah,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'Rice (Adjusted)'!$A$7:$A$107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(Adjusted)'!$AR$7:$AR$107</c:f>
              <c:numCache>
                <c:formatCode>0.0000</c:formatCode>
                <c:ptCount val="92"/>
                <c:pt idx="56">
                  <c:v>6.9884757039325196</c:v>
                </c:pt>
                <c:pt idx="57">
                  <c:v>10.83346405228758</c:v>
                </c:pt>
                <c:pt idx="58">
                  <c:v>7.5</c:v>
                </c:pt>
                <c:pt idx="59">
                  <c:v>8</c:v>
                </c:pt>
                <c:pt idx="69">
                  <c:v>12.877307274701419</c:v>
                </c:pt>
                <c:pt idx="70">
                  <c:v>8.9367253750815401</c:v>
                </c:pt>
                <c:pt idx="71">
                  <c:v>11.6858761476851</c:v>
                </c:pt>
                <c:pt idx="72">
                  <c:v>10.470490440565261</c:v>
                </c:pt>
              </c:numCache>
            </c:numRef>
          </c:val>
          <c:smooth val="0"/>
        </c:ser>
        <c:ser>
          <c:idx val="0"/>
          <c:order val="22"/>
          <c:tx>
            <c:strRef>
              <c:f>'Rice (Adjusted)'!$AS$6</c:f>
              <c:strCache>
                <c:ptCount val="1"/>
                <c:pt idx="0">
                  <c:v>India, Exports, in pound/ton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'Rice (Adjusted)'!$AS$7:$AS$107</c:f>
              <c:numCache>
                <c:formatCode>General</c:formatCode>
                <c:ptCount val="92"/>
                <c:pt idx="3" formatCode="0.0000">
                  <c:v>3.7608616799828365</c:v>
                </c:pt>
                <c:pt idx="4" formatCode="0.0000">
                  <c:v>3.7015410456678532</c:v>
                </c:pt>
                <c:pt idx="5" formatCode="0.0000">
                  <c:v>4.2181898789867027</c:v>
                </c:pt>
                <c:pt idx="6" formatCode="0.0000">
                  <c:v>4.7159384471137127</c:v>
                </c:pt>
                <c:pt idx="7" formatCode="0.0000">
                  <c:v>4.1301965651342654</c:v>
                </c:pt>
                <c:pt idx="8" formatCode="0.0000">
                  <c:v>3.0483279199617619</c:v>
                </c:pt>
                <c:pt idx="9" formatCode="0.0000">
                  <c:v>3.0611360204658022</c:v>
                </c:pt>
                <c:pt idx="10" formatCode="0.0000">
                  <c:v>3.0371832091335698</c:v>
                </c:pt>
                <c:pt idx="11" formatCode="0.0000">
                  <c:v>3.6730970822108273</c:v>
                </c:pt>
                <c:pt idx="12" formatCode="0.0000">
                  <c:v>4.1059110758668629</c:v>
                </c:pt>
                <c:pt idx="13" formatCode="0.0000">
                  <c:v>3.9078013654731896</c:v>
                </c:pt>
                <c:pt idx="14" formatCode="0.0000">
                  <c:v>4.2556161466933169</c:v>
                </c:pt>
                <c:pt idx="15" formatCode="0.0000">
                  <c:v>4.3650256026223158</c:v>
                </c:pt>
                <c:pt idx="16" formatCode="0.0000">
                  <c:v>4.528204129823151</c:v>
                </c:pt>
                <c:pt idx="17" formatCode="0.0000">
                  <c:v>5.0124584492048294</c:v>
                </c:pt>
                <c:pt idx="18" formatCode="0.0000">
                  <c:v>5.7520430838294079</c:v>
                </c:pt>
                <c:pt idx="19" formatCode="0.0000">
                  <c:v>6.8547456846919248</c:v>
                </c:pt>
                <c:pt idx="20" formatCode="0.0000">
                  <c:v>6.9501410826018928</c:v>
                </c:pt>
                <c:pt idx="21" formatCode="0.0000">
                  <c:v>4.6756035577378006</c:v>
                </c:pt>
                <c:pt idx="22" formatCode="0.0000">
                  <c:v>4.5783137438081161</c:v>
                </c:pt>
                <c:pt idx="23" formatCode="0.0000">
                  <c:v>4.2275207029778965</c:v>
                </c:pt>
                <c:pt idx="24" formatCode="0.0000">
                  <c:v>5.6285918467201101</c:v>
                </c:pt>
                <c:pt idx="25" formatCode="0.0000">
                  <c:v>7.0986656088111815</c:v>
                </c:pt>
                <c:pt idx="26" formatCode="0.0000">
                  <c:v>9.9234501281828429</c:v>
                </c:pt>
                <c:pt idx="27" formatCode="0.0000">
                  <c:v>7.2935062964391228</c:v>
                </c:pt>
                <c:pt idx="28" formatCode="0.0000">
                  <c:v>5.4383168846489269</c:v>
                </c:pt>
                <c:pt idx="29" formatCode="0.0000">
                  <c:v>6.5213029342519926</c:v>
                </c:pt>
                <c:pt idx="30" formatCode="0.0000">
                  <c:v>5.5507379302845772</c:v>
                </c:pt>
                <c:pt idx="31" formatCode="0.0000">
                  <c:v>5.3819434089213258</c:v>
                </c:pt>
                <c:pt idx="32" formatCode="0.0000">
                  <c:v>5.0880807822578626</c:v>
                </c:pt>
                <c:pt idx="33" formatCode="0.0000">
                  <c:v>5.6077829130209293</c:v>
                </c:pt>
                <c:pt idx="34" formatCode="0.0000">
                  <c:v>7.8469039034782231</c:v>
                </c:pt>
                <c:pt idx="35" formatCode="0.0000">
                  <c:v>7.0850618448165283</c:v>
                </c:pt>
                <c:pt idx="36" formatCode="0.0000">
                  <c:v>5.5684579089648025</c:v>
                </c:pt>
                <c:pt idx="37" formatCode="0.0000">
                  <c:v>7.7354174840054615</c:v>
                </c:pt>
                <c:pt idx="38" formatCode="0.0000">
                  <c:v>8.3007011599028537</c:v>
                </c:pt>
                <c:pt idx="39" formatCode="0.0000">
                  <c:v>8.910271947292058</c:v>
                </c:pt>
                <c:pt idx="40" formatCode="0.0000">
                  <c:v>6.9526158608533928</c:v>
                </c:pt>
                <c:pt idx="41" formatCode="0.0000">
                  <c:v>5.2731142309322339</c:v>
                </c:pt>
                <c:pt idx="42" formatCode="0.0000">
                  <c:v>4.8733929656772768</c:v>
                </c:pt>
                <c:pt idx="43" formatCode="0.0000">
                  <c:v>5.5244581053823731</c:v>
                </c:pt>
                <c:pt idx="44" formatCode="0.0000">
                  <c:v>6.9520878971754509</c:v>
                </c:pt>
                <c:pt idx="45" formatCode="0.0000">
                  <c:v>6.3596543915900314</c:v>
                </c:pt>
                <c:pt idx="46" formatCode="0.0000">
                  <c:v>6.0730372779778667</c:v>
                </c:pt>
                <c:pt idx="47" formatCode="0.0000">
                  <c:v>4.9248577826869866</c:v>
                </c:pt>
                <c:pt idx="48" formatCode="0.0000">
                  <c:v>5.0419363802408634</c:v>
                </c:pt>
                <c:pt idx="49" formatCode="0.0000">
                  <c:v>6.1710450252651574</c:v>
                </c:pt>
                <c:pt idx="50" formatCode="0.0000">
                  <c:v>6.9650139209139095</c:v>
                </c:pt>
                <c:pt idx="51" formatCode="0.0000">
                  <c:v>6.4266138337112517</c:v>
                </c:pt>
                <c:pt idx="52" formatCode="0.0000">
                  <c:v>6.6454312087835019</c:v>
                </c:pt>
                <c:pt idx="53" formatCode="0.0000">
                  <c:v>6.5841767413581254</c:v>
                </c:pt>
                <c:pt idx="54" formatCode="0.0000">
                  <c:v>5.3231143495794386</c:v>
                </c:pt>
                <c:pt idx="55" formatCode="0.0000">
                  <c:v>4.0855123070908261</c:v>
                </c:pt>
                <c:pt idx="56" formatCode="0.0000">
                  <c:v>4.9356283010120263</c:v>
                </c:pt>
                <c:pt idx="57" formatCode="0.0000">
                  <c:v>6.9109219969437339</c:v>
                </c:pt>
                <c:pt idx="58" formatCode="0.0000">
                  <c:v>5.7133133311422934</c:v>
                </c:pt>
                <c:pt idx="59" formatCode="0.0000">
                  <c:v>5.0584176867490225</c:v>
                </c:pt>
                <c:pt idx="60" formatCode="0.0000">
                  <c:v>5.1969100069870748</c:v>
                </c:pt>
                <c:pt idx="61" formatCode="0.0000">
                  <c:v>5.8426308112715182</c:v>
                </c:pt>
                <c:pt idx="62" formatCode="0.0000">
                  <c:v>5.9484006924269099</c:v>
                </c:pt>
                <c:pt idx="63" formatCode="0.0000">
                  <c:v>5.2757019581059224</c:v>
                </c:pt>
                <c:pt idx="64" formatCode="0.0000">
                  <c:v>5.3996925583650039</c:v>
                </c:pt>
                <c:pt idx="65" formatCode="0.0000">
                  <c:v>5.2573996298640449</c:v>
                </c:pt>
                <c:pt idx="66" formatCode="0.0000">
                  <c:v>6.8502218719548713</c:v>
                </c:pt>
                <c:pt idx="67" formatCode="0.0000">
                  <c:v>8.7143085606351267</c:v>
                </c:pt>
                <c:pt idx="68" formatCode="0.0000">
                  <c:v>8.7669677266104014</c:v>
                </c:pt>
                <c:pt idx="69" formatCode="0.0000">
                  <c:v>7.974917970299729</c:v>
                </c:pt>
                <c:pt idx="70" formatCode="0.0000">
                  <c:v>5.0062479620664897</c:v>
                </c:pt>
                <c:pt idx="71" formatCode="0.0000">
                  <c:v>6.0283183692320117</c:v>
                </c:pt>
                <c:pt idx="72" formatCode="0.0000">
                  <c:v>6.9305741659106532</c:v>
                </c:pt>
                <c:pt idx="73" formatCode="0.0000">
                  <c:v>7.5077055769126764</c:v>
                </c:pt>
                <c:pt idx="74" formatCode="0.0000">
                  <c:v>5.1293626234694747</c:v>
                </c:pt>
                <c:pt idx="75" formatCode="0.0000">
                  <c:v>5.3536185854752993</c:v>
                </c:pt>
                <c:pt idx="76" formatCode="0.0000">
                  <c:v>5.4676347320569336</c:v>
                </c:pt>
                <c:pt idx="77" formatCode="0.0000">
                  <c:v>4.9457100320785736</c:v>
                </c:pt>
                <c:pt idx="78" formatCode="0.0000">
                  <c:v>3.8787878787878789</c:v>
                </c:pt>
                <c:pt idx="79" formatCode="0.0000">
                  <c:v>6.2622874701322644</c:v>
                </c:pt>
                <c:pt idx="80" formatCode="0.0000">
                  <c:v>8.8332105831042433</c:v>
                </c:pt>
                <c:pt idx="81" formatCode="0.0000">
                  <c:v>6.9042376893939386</c:v>
                </c:pt>
                <c:pt idx="82" formatCode="0.0000">
                  <c:v>6.4655539772727275</c:v>
                </c:pt>
                <c:pt idx="83" formatCode="0.0000">
                  <c:v>5.5517578125</c:v>
                </c:pt>
                <c:pt idx="84" formatCode="0.0000">
                  <c:v>5.856001420454545</c:v>
                </c:pt>
                <c:pt idx="85" formatCode="0.0000">
                  <c:v>6.9208984375</c:v>
                </c:pt>
                <c:pt idx="86" formatCode="0.0000">
                  <c:v>6.7086292613636367</c:v>
                </c:pt>
                <c:pt idx="87" formatCode="0.0000">
                  <c:v>6.826704545454545</c:v>
                </c:pt>
                <c:pt idx="88" formatCode="0.0000">
                  <c:v>6.5878462357954541</c:v>
                </c:pt>
                <c:pt idx="89" formatCode="0.0000">
                  <c:v>5.8700284090909083</c:v>
                </c:pt>
                <c:pt idx="90" formatCode="0.0000">
                  <c:v>5.1653993983957207</c:v>
                </c:pt>
                <c:pt idx="91" formatCode="0.0000">
                  <c:v>3.5011280080213893</c:v>
                </c:pt>
              </c:numCache>
            </c:numRef>
          </c:val>
          <c:smooth val="0"/>
        </c:ser>
        <c:ser>
          <c:idx val="1"/>
          <c:order val="23"/>
          <c:tx>
            <c:strRef>
              <c:f>'Rice (Adjusted)'!$AT$6</c:f>
              <c:strCache>
                <c:ptCount val="1"/>
                <c:pt idx="0">
                  <c:v>India, Wholesale, in pound/ton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'Rice (Adjusted)'!$AT$7:$AT$107</c:f>
              <c:numCache>
                <c:formatCode>General</c:formatCode>
                <c:ptCount val="92"/>
                <c:pt idx="33" formatCode="0.0000">
                  <c:v>6.2423500575674469</c:v>
                </c:pt>
                <c:pt idx="44" formatCode="0.0000">
                  <c:v>5.7528409090909092</c:v>
                </c:pt>
                <c:pt idx="45" formatCode="0.0000">
                  <c:v>5.1870265151515147</c:v>
                </c:pt>
                <c:pt idx="46" formatCode="0.0000">
                  <c:v>5.1175394144144146</c:v>
                </c:pt>
                <c:pt idx="47" formatCode="0.0000">
                  <c:v>5.1314986861861867</c:v>
                </c:pt>
                <c:pt idx="48" formatCode="0.0000">
                  <c:v>5.3696167758667768</c:v>
                </c:pt>
                <c:pt idx="49" formatCode="0.0000">
                  <c:v>5.9939364079803896</c:v>
                </c:pt>
                <c:pt idx="50" formatCode="0.0000">
                  <c:v>5.9286775411775414</c:v>
                </c:pt>
                <c:pt idx="51" formatCode="0.0000">
                  <c:v>6.9333673159946301</c:v>
                </c:pt>
                <c:pt idx="52" formatCode="0.0000">
                  <c:v>6.8190491627806438</c:v>
                </c:pt>
                <c:pt idx="53" formatCode="0.0000">
                  <c:v>5.1374176596264114</c:v>
                </c:pt>
                <c:pt idx="54" formatCode="0.0000">
                  <c:v>4.4127064564333418</c:v>
                </c:pt>
                <c:pt idx="55" formatCode="0.0000">
                  <c:v>4.3406761253325055</c:v>
                </c:pt>
                <c:pt idx="56" formatCode="0.0000">
                  <c:v>5.172766516513061</c:v>
                </c:pt>
                <c:pt idx="57" formatCode="0.0000">
                  <c:v>5.8983334494751603</c:v>
                </c:pt>
                <c:pt idx="58" formatCode="0.0000">
                  <c:v>5.3438995636252002</c:v>
                </c:pt>
                <c:pt idx="59" formatCode="0.0000">
                  <c:v>5.56998588903443</c:v>
                </c:pt>
                <c:pt idx="60" formatCode="0.0000">
                  <c:v>5.6768502878172669</c:v>
                </c:pt>
                <c:pt idx="61" formatCode="0.0000">
                  <c:v>5.1326686741085048</c:v>
                </c:pt>
                <c:pt idx="62" formatCode="0.0000">
                  <c:v>4.8725678803526025</c:v>
                </c:pt>
                <c:pt idx="63" formatCode="0.0000">
                  <c:v>5.9476038538441527</c:v>
                </c:pt>
                <c:pt idx="64" formatCode="0.0000">
                  <c:v>5.1615829592743552</c:v>
                </c:pt>
                <c:pt idx="65" formatCode="0.0000">
                  <c:v>5.5816676051090255</c:v>
                </c:pt>
                <c:pt idx="66" formatCode="0.0000">
                  <c:v>6.2739586176951585</c:v>
                </c:pt>
                <c:pt idx="67" formatCode="0.0000">
                  <c:v>7.0582989239590042</c:v>
                </c:pt>
                <c:pt idx="68" formatCode="0.0000">
                  <c:v>6.9448209110212495</c:v>
                </c:pt>
                <c:pt idx="69" formatCode="0.0000">
                  <c:v>5.922744172725654</c:v>
                </c:pt>
                <c:pt idx="70" formatCode="0.0000">
                  <c:v>5.6534860716323223</c:v>
                </c:pt>
                <c:pt idx="71" formatCode="0.0000">
                  <c:v>7.1617688166944831</c:v>
                </c:pt>
                <c:pt idx="72" formatCode="0.0000">
                  <c:v>8.3753396253158368</c:v>
                </c:pt>
                <c:pt idx="73" formatCode="0.0000">
                  <c:v>6.7763577880668295</c:v>
                </c:pt>
                <c:pt idx="74" formatCode="0.0000">
                  <c:v>5.7118055555555562</c:v>
                </c:pt>
                <c:pt idx="75" formatCode="0.0000">
                  <c:v>7.588541666666667</c:v>
                </c:pt>
                <c:pt idx="76" formatCode="0.0000">
                  <c:v>8.60647627313889</c:v>
                </c:pt>
                <c:pt idx="77" formatCode="0.0000">
                  <c:v>11.123263888888888</c:v>
                </c:pt>
                <c:pt idx="78" formatCode="0.0000">
                  <c:v>11.592881944444445</c:v>
                </c:pt>
                <c:pt idx="79" formatCode="0.0000">
                  <c:v>14.801118026740433</c:v>
                </c:pt>
                <c:pt idx="80" formatCode="0.0000">
                  <c:v>15.533351117189225</c:v>
                </c:pt>
                <c:pt idx="81" formatCode="0.0000">
                  <c:v>12.822916666666668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008144"/>
        <c:axId val="540984064"/>
      </c:lineChart>
      <c:catAx>
        <c:axId val="54100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984064"/>
        <c:crosses val="autoZero"/>
        <c:auto val="1"/>
        <c:lblAlgn val="ctr"/>
        <c:lblOffset val="100"/>
        <c:noMultiLvlLbl val="0"/>
      </c:catAx>
      <c:valAx>
        <c:axId val="540984064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00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393851689081505"/>
          <c:y val="0.15519090545114833"/>
          <c:w val="0.21960153478877156"/>
          <c:h val="0.74377823342190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Rice, Black Sea, Caspian Sea, Persia, Persian Gulf</a:t>
            </a:r>
            <a:r>
              <a:rPr lang="en-US" sz="1400" b="1" i="0" u="none" strike="noStrike" baseline="0">
                <a:effectLst/>
              </a:rPr>
              <a:t> &amp; India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, in pound/ton</a:t>
            </a:r>
          </a:p>
        </c:rich>
      </c:tx>
      <c:layout>
        <c:manualLayout>
          <c:xMode val="edge"/>
          <c:yMode val="edge"/>
          <c:x val="0.30021894627388829"/>
          <c:y val="2.77777110940400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'Rice (Adjusted)'!$C$6</c:f>
              <c:strCache>
                <c:ptCount val="1"/>
                <c:pt idx="0">
                  <c:v>UK, Imports, in pound/ton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'Rice (Adjusted)'!$A$7:$A$98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(Adjusted)'!$C$31:$C$87</c:f>
              <c:numCache>
                <c:formatCode>_(* #,##0.0000_);_(* \(#,##0.0000\);_(* "-"??_);_(@_)</c:formatCode>
                <c:ptCount val="57"/>
                <c:pt idx="0">
                  <c:v>11.350700359198783</c:v>
                </c:pt>
                <c:pt idx="1">
                  <c:v>13.73</c:v>
                </c:pt>
                <c:pt idx="2">
                  <c:v>13.58</c:v>
                </c:pt>
                <c:pt idx="3">
                  <c:v>14.64</c:v>
                </c:pt>
                <c:pt idx="4">
                  <c:v>12.29</c:v>
                </c:pt>
                <c:pt idx="5">
                  <c:v>10.67</c:v>
                </c:pt>
                <c:pt idx="6">
                  <c:v>10.58</c:v>
                </c:pt>
                <c:pt idx="7">
                  <c:v>10.19</c:v>
                </c:pt>
                <c:pt idx="8">
                  <c:v>10</c:v>
                </c:pt>
                <c:pt idx="9">
                  <c:v>9.92</c:v>
                </c:pt>
                <c:pt idx="10">
                  <c:v>10.33</c:v>
                </c:pt>
                <c:pt idx="11">
                  <c:v>8.9499999999999993</c:v>
                </c:pt>
                <c:pt idx="12">
                  <c:v>9.06</c:v>
                </c:pt>
                <c:pt idx="13">
                  <c:v>10.55</c:v>
                </c:pt>
                <c:pt idx="14">
                  <c:v>10.48</c:v>
                </c:pt>
                <c:pt idx="15">
                  <c:v>10.15</c:v>
                </c:pt>
                <c:pt idx="16">
                  <c:v>9.52</c:v>
                </c:pt>
                <c:pt idx="17">
                  <c:v>8.64</c:v>
                </c:pt>
                <c:pt idx="18">
                  <c:v>7.98</c:v>
                </c:pt>
                <c:pt idx="19">
                  <c:v>8.1999999999999993</c:v>
                </c:pt>
                <c:pt idx="20">
                  <c:v>8.14</c:v>
                </c:pt>
                <c:pt idx="21">
                  <c:v>7.82</c:v>
                </c:pt>
                <c:pt idx="22">
                  <c:v>7.48</c:v>
                </c:pt>
                <c:pt idx="23">
                  <c:v>7.47</c:v>
                </c:pt>
                <c:pt idx="24">
                  <c:v>7.46</c:v>
                </c:pt>
                <c:pt idx="25">
                  <c:v>8.17</c:v>
                </c:pt>
                <c:pt idx="26">
                  <c:v>8.56</c:v>
                </c:pt>
                <c:pt idx="27">
                  <c:v>9.0299999999999994</c:v>
                </c:pt>
                <c:pt idx="28">
                  <c:v>8.89</c:v>
                </c:pt>
                <c:pt idx="29">
                  <c:v>7.85</c:v>
                </c:pt>
                <c:pt idx="30">
                  <c:v>7.62</c:v>
                </c:pt>
                <c:pt idx="31">
                  <c:v>7.3</c:v>
                </c:pt>
                <c:pt idx="32">
                  <c:v>7.45</c:v>
                </c:pt>
                <c:pt idx="33">
                  <c:v>8.17</c:v>
                </c:pt>
                <c:pt idx="34">
                  <c:v>8.82</c:v>
                </c:pt>
                <c:pt idx="35">
                  <c:v>8.7100000000000009</c:v>
                </c:pt>
                <c:pt idx="39">
                  <c:v>8.7200000000000006</c:v>
                </c:pt>
                <c:pt idx="40">
                  <c:v>7.83</c:v>
                </c:pt>
                <c:pt idx="41">
                  <c:v>8.27</c:v>
                </c:pt>
                <c:pt idx="42">
                  <c:v>8.68</c:v>
                </c:pt>
                <c:pt idx="43">
                  <c:v>9.68</c:v>
                </c:pt>
                <c:pt idx="44">
                  <c:v>9.15</c:v>
                </c:pt>
                <c:pt idx="45">
                  <c:v>8.83</c:v>
                </c:pt>
                <c:pt idx="46">
                  <c:v>8.59</c:v>
                </c:pt>
                <c:pt idx="47">
                  <c:v>9.27</c:v>
                </c:pt>
                <c:pt idx="48">
                  <c:v>11.3</c:v>
                </c:pt>
                <c:pt idx="49">
                  <c:v>10.56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'Rice (Adjusted)'!$D$6</c:f>
              <c:strCache>
                <c:ptCount val="1"/>
                <c:pt idx="0">
                  <c:v>UK, Foreign and Colonial Exports, in pound/ton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'Rice (Adjusted)'!$A$7:$A$98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(Adjusted)'!$D$31:$D$87</c:f>
              <c:numCache>
                <c:formatCode>_(* #,##0.0000_);_(* \(#,##0.0000\);_(* "-"??_);_(@_)</c:formatCode>
                <c:ptCount val="57"/>
                <c:pt idx="0">
                  <c:v>11.33333928810683</c:v>
                </c:pt>
                <c:pt idx="1">
                  <c:v>13.749998209546128</c:v>
                </c:pt>
                <c:pt idx="2">
                  <c:v>13.583331600763561</c:v>
                </c:pt>
                <c:pt idx="3">
                  <c:v>14.666666666666666</c:v>
                </c:pt>
                <c:pt idx="4">
                  <c:v>12.333336599034006</c:v>
                </c:pt>
                <c:pt idx="5">
                  <c:v>10.666660826449178</c:v>
                </c:pt>
                <c:pt idx="6">
                  <c:v>10.583330332385035</c:v>
                </c:pt>
                <c:pt idx="7">
                  <c:v>12.308464509066583</c:v>
                </c:pt>
                <c:pt idx="8">
                  <c:v>12.607540507999966</c:v>
                </c:pt>
                <c:pt idx="9">
                  <c:v>11.740083761545105</c:v>
                </c:pt>
                <c:pt idx="10">
                  <c:v>12.304800755710003</c:v>
                </c:pt>
                <c:pt idx="11">
                  <c:v>11.003075858577642</c:v>
                </c:pt>
                <c:pt idx="12">
                  <c:v>10.740606916430709</c:v>
                </c:pt>
                <c:pt idx="13">
                  <c:v>12.572755452258406</c:v>
                </c:pt>
                <c:pt idx="14">
                  <c:v>12.646175552901486</c:v>
                </c:pt>
                <c:pt idx="15">
                  <c:v>12.111918445967746</c:v>
                </c:pt>
                <c:pt idx="16">
                  <c:v>11.634829111836106</c:v>
                </c:pt>
                <c:pt idx="17">
                  <c:v>10.288512958339531</c:v>
                </c:pt>
                <c:pt idx="18">
                  <c:v>9.5062068139602491</c:v>
                </c:pt>
                <c:pt idx="19">
                  <c:v>9.5958721210596725</c:v>
                </c:pt>
                <c:pt idx="20">
                  <c:v>9.7721508526520022</c:v>
                </c:pt>
                <c:pt idx="21">
                  <c:v>9.3573422499581032</c:v>
                </c:pt>
                <c:pt idx="22">
                  <c:v>8.9676127712744922</c:v>
                </c:pt>
                <c:pt idx="23">
                  <c:v>8.7418012930277929</c:v>
                </c:pt>
                <c:pt idx="24">
                  <c:v>8.6611977300167062</c:v>
                </c:pt>
                <c:pt idx="25">
                  <c:v>9.3321192957478338</c:v>
                </c:pt>
                <c:pt idx="26">
                  <c:v>9.4521901011252414</c:v>
                </c:pt>
                <c:pt idx="27">
                  <c:v>9.3965995453857776</c:v>
                </c:pt>
                <c:pt idx="28">
                  <c:v>9.4978037904675379</c:v>
                </c:pt>
                <c:pt idx="29">
                  <c:v>8.3867810398369187</c:v>
                </c:pt>
                <c:pt idx="30">
                  <c:v>7.809083358995176</c:v>
                </c:pt>
                <c:pt idx="31">
                  <c:v>7.2604343093216919</c:v>
                </c:pt>
                <c:pt idx="32">
                  <c:v>7.6481463236529912</c:v>
                </c:pt>
                <c:pt idx="33">
                  <c:v>8.9566427212584117</c:v>
                </c:pt>
                <c:pt idx="34">
                  <c:v>9.4003178271388634</c:v>
                </c:pt>
                <c:pt idx="35">
                  <c:v>8.9073878527984593</c:v>
                </c:pt>
                <c:pt idx="39">
                  <c:v>9.4880053938202362</c:v>
                </c:pt>
                <c:pt idx="40">
                  <c:v>8.2194860417162161</c:v>
                </c:pt>
                <c:pt idx="41">
                  <c:v>8.8014826096277119</c:v>
                </c:pt>
                <c:pt idx="42">
                  <c:v>9.8068788451468585</c:v>
                </c:pt>
                <c:pt idx="43">
                  <c:v>10.772960587892795</c:v>
                </c:pt>
                <c:pt idx="44">
                  <c:v>10.139318228440866</c:v>
                </c:pt>
                <c:pt idx="45">
                  <c:v>9.9958562243520337</c:v>
                </c:pt>
                <c:pt idx="46">
                  <c:v>9.2642174317075643</c:v>
                </c:pt>
                <c:pt idx="47">
                  <c:v>9.7612240425888448</c:v>
                </c:pt>
                <c:pt idx="48">
                  <c:v>12.473587498789112</c:v>
                </c:pt>
                <c:pt idx="49">
                  <c:v>11.782113793657098</c:v>
                </c:pt>
                <c:pt idx="50">
                  <c:v>10.796807864392488</c:v>
                </c:pt>
                <c:pt idx="51">
                  <c:v>11.850360161990087</c:v>
                </c:pt>
                <c:pt idx="52">
                  <c:v>16.720349164565679</c:v>
                </c:pt>
                <c:pt idx="53">
                  <c:v>20.354333570002964</c:v>
                </c:pt>
                <c:pt idx="54">
                  <c:v>32.643729189789127</c:v>
                </c:pt>
                <c:pt idx="55">
                  <c:v>27.625954141957074</c:v>
                </c:pt>
                <c:pt idx="56">
                  <c:v>43.575690247028042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'Rice (Adjusted)'!$U$6</c:f>
              <c:strCache>
                <c:ptCount val="1"/>
                <c:pt idx="0">
                  <c:v>Constantinople, Imports, in pound/ton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'Rice (Adjusted)'!$A$7:$A$98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(Adjusted)'!$U$31:$U$87</c:f>
              <c:numCache>
                <c:formatCode>0.0000</c:formatCode>
                <c:ptCount val="57"/>
                <c:pt idx="33">
                  <c:v>15</c:v>
                </c:pt>
                <c:pt idx="43">
                  <c:v>14.251401120896718</c:v>
                </c:pt>
                <c:pt idx="46">
                  <c:v>9.0243902439024382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'Rice (Adjusted)'!$V$6</c:f>
              <c:strCache>
                <c:ptCount val="1"/>
                <c:pt idx="0">
                  <c:v>Constantinople, Exports, in pound/ton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'Rice (Adjusted)'!$A$7:$A$98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(Adjusted)'!$V$31:$V$87</c:f>
              <c:numCache>
                <c:formatCode>General</c:formatCode>
                <c:ptCount val="57"/>
                <c:pt idx="21" formatCode="0.0000">
                  <c:v>17.389285705705277</c:v>
                </c:pt>
                <c:pt idx="22" formatCode="0.0000">
                  <c:v>13.81818181818182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'Rice (Adjusted)'!$W$6</c:f>
              <c:strCache>
                <c:ptCount val="1"/>
                <c:pt idx="0">
                  <c:v>Trebizond (Anatolia),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'Rice (Adjusted)'!$A$7:$A$98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(Adjusted)'!$W$31:$W$87</c:f>
              <c:numCache>
                <c:formatCode>0.0000</c:formatCode>
                <c:ptCount val="57"/>
                <c:pt idx="19">
                  <c:v>15</c:v>
                </c:pt>
                <c:pt idx="20">
                  <c:v>13</c:v>
                </c:pt>
                <c:pt idx="21">
                  <c:v>11.493670886075948</c:v>
                </c:pt>
                <c:pt idx="22">
                  <c:v>13.280106453759149</c:v>
                </c:pt>
                <c:pt idx="23">
                  <c:v>11.994261119081779</c:v>
                </c:pt>
                <c:pt idx="24">
                  <c:v>12.009569377990431</c:v>
                </c:pt>
                <c:pt idx="25">
                  <c:v>12.871287128712872</c:v>
                </c:pt>
                <c:pt idx="26">
                  <c:v>12.79954571266326</c:v>
                </c:pt>
                <c:pt idx="27">
                  <c:v>10.782208588957056</c:v>
                </c:pt>
                <c:pt idx="28">
                  <c:v>12</c:v>
                </c:pt>
                <c:pt idx="29">
                  <c:v>12.006717044500419</c:v>
                </c:pt>
                <c:pt idx="30">
                  <c:v>11.994996873045654</c:v>
                </c:pt>
                <c:pt idx="31">
                  <c:v>12.004479283314671</c:v>
                </c:pt>
                <c:pt idx="32">
                  <c:v>12.005885237861698</c:v>
                </c:pt>
                <c:pt idx="33">
                  <c:v>13.99390243902439</c:v>
                </c:pt>
                <c:pt idx="34">
                  <c:v>13.969335604770016</c:v>
                </c:pt>
                <c:pt idx="35">
                  <c:v>13.965822038892162</c:v>
                </c:pt>
                <c:pt idx="36">
                  <c:v>11.843393148450245</c:v>
                </c:pt>
                <c:pt idx="37">
                  <c:v>9.9640933572710964</c:v>
                </c:pt>
                <c:pt idx="38">
                  <c:v>9.9933199732798919</c:v>
                </c:pt>
                <c:pt idx="39">
                  <c:v>9.9903753609239647</c:v>
                </c:pt>
                <c:pt idx="40">
                  <c:v>9.9970700263697623</c:v>
                </c:pt>
                <c:pt idx="41">
                  <c:v>10.016518004625041</c:v>
                </c:pt>
                <c:pt idx="42">
                  <c:v>10</c:v>
                </c:pt>
                <c:pt idx="43">
                  <c:v>10.397753860552177</c:v>
                </c:pt>
                <c:pt idx="44">
                  <c:v>11.541593160537387</c:v>
                </c:pt>
                <c:pt idx="45">
                  <c:v>11.135623869801085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'Rice (Adjusted)'!$X$6</c:f>
              <c:strCache>
                <c:ptCount val="1"/>
                <c:pt idx="0">
                  <c:v>Trebizond (Persia),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'Rice (Adjusted)'!$A$7:$A$98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(Adjusted)'!$X$31:$X$87</c:f>
              <c:numCache>
                <c:formatCode>0.0000</c:formatCode>
                <c:ptCount val="57"/>
                <c:pt idx="19">
                  <c:v>40</c:v>
                </c:pt>
                <c:pt idx="20">
                  <c:v>40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'Rice (Adjusted)'!$AC$6</c:f>
              <c:strCache>
                <c:ptCount val="1"/>
                <c:pt idx="0">
                  <c:v>Khorasan,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'Rice (Adjusted)'!$A$7:$A$98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(Adjusted)'!$AC$31:$AC$87</c:f>
              <c:numCache>
                <c:formatCode>0.0000</c:formatCode>
                <c:ptCount val="57"/>
                <c:pt idx="38">
                  <c:v>16.242858193766711</c:v>
                </c:pt>
                <c:pt idx="39">
                  <c:v>21.99941844236568</c:v>
                </c:pt>
                <c:pt idx="40">
                  <c:v>25.879577761119936</c:v>
                </c:pt>
                <c:pt idx="41">
                  <c:v>19.574988028994611</c:v>
                </c:pt>
                <c:pt idx="42">
                  <c:v>21.897655873991074</c:v>
                </c:pt>
                <c:pt idx="43">
                  <c:v>21.821411611170394</c:v>
                </c:pt>
                <c:pt idx="44">
                  <c:v>19.587129848532019</c:v>
                </c:pt>
                <c:pt idx="45">
                  <c:v>17.939606421844463</c:v>
                </c:pt>
                <c:pt idx="46">
                  <c:v>17.858419541786276</c:v>
                </c:pt>
                <c:pt idx="47">
                  <c:v>22.475728695187936</c:v>
                </c:pt>
                <c:pt idx="48">
                  <c:v>30.492258845972223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'Rice (Adjusted)'!$AD$6</c:f>
              <c:strCache>
                <c:ptCount val="1"/>
                <c:pt idx="0">
                  <c:v>Kerman &amp; Kermanshah, Imports,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'Rice (Adjusted)'!$A$7:$A$98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(Adjusted)'!$AD$31:$AD$87</c:f>
              <c:numCache>
                <c:formatCode>0.0000</c:formatCode>
                <c:ptCount val="57"/>
                <c:pt idx="39">
                  <c:v>18.02173821813756</c:v>
                </c:pt>
                <c:pt idx="40">
                  <c:v>19.267416574291122</c:v>
                </c:pt>
                <c:pt idx="44">
                  <c:v>13.333333333333339</c:v>
                </c:pt>
              </c:numCache>
            </c:numRef>
          </c:val>
          <c:smooth val="0"/>
        </c:ser>
        <c:ser>
          <c:idx val="12"/>
          <c:order val="8"/>
          <c:tx>
            <c:strRef>
              <c:f>'Rice (Adjusted)'!$AE$6</c:f>
              <c:strCache>
                <c:ptCount val="1"/>
                <c:pt idx="0">
                  <c:v>Kermanshah,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(Adjusted)'!$A$7:$A$98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(Adjusted)'!$AE$31:$AE$87</c:f>
              <c:numCache>
                <c:formatCode>0.0000</c:formatCode>
                <c:ptCount val="57"/>
                <c:pt idx="39">
                  <c:v>10.448156150214981</c:v>
                </c:pt>
                <c:pt idx="40">
                  <c:v>5.5294390998183998</c:v>
                </c:pt>
                <c:pt idx="41">
                  <c:v>12.307692307692299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'Rice (Adjusted)'!$AG$6</c:f>
              <c:strCache>
                <c:ptCount val="1"/>
                <c:pt idx="0">
                  <c:v>Resht &amp; Mazandaran, Exports,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(Adjusted)'!$A$7:$A$98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(Adjusted)'!$AG$31:$AG$87</c:f>
              <c:numCache>
                <c:formatCode>0.0000</c:formatCode>
                <c:ptCount val="57"/>
                <c:pt idx="9">
                  <c:v>7.1111111111111001</c:v>
                </c:pt>
                <c:pt idx="10">
                  <c:v>4.6851034162212448</c:v>
                </c:pt>
                <c:pt idx="11">
                  <c:v>4.495582608695651</c:v>
                </c:pt>
                <c:pt idx="26">
                  <c:v>5.6293028268060414</c:v>
                </c:pt>
                <c:pt idx="29">
                  <c:v>5.0109858147600166</c:v>
                </c:pt>
                <c:pt idx="30">
                  <c:v>3.995231956859763</c:v>
                </c:pt>
                <c:pt idx="31">
                  <c:v>4.1442043923851202</c:v>
                </c:pt>
                <c:pt idx="38">
                  <c:v>7.2629548071950909</c:v>
                </c:pt>
                <c:pt idx="42">
                  <c:v>7.4735427324783013</c:v>
                </c:pt>
                <c:pt idx="43">
                  <c:v>7.2000658786375205</c:v>
                </c:pt>
                <c:pt idx="44">
                  <c:v>7.1370870242408797</c:v>
                </c:pt>
                <c:pt idx="45">
                  <c:v>6.6737362197146597</c:v>
                </c:pt>
                <c:pt idx="46">
                  <c:v>7.5241553255998301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'Rice (Adjusted)'!$AI$6</c:f>
              <c:strCache>
                <c:ptCount val="1"/>
                <c:pt idx="0">
                  <c:v>Ghilan &amp; Tunekabun, Exports,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(Adjusted)'!$A$7:$A$98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(Adjusted)'!$AI$31:$AI$87</c:f>
              <c:numCache>
                <c:formatCode>0.0000</c:formatCode>
                <c:ptCount val="57"/>
                <c:pt idx="0">
                  <c:v>11.48</c:v>
                </c:pt>
                <c:pt idx="6">
                  <c:v>20.130718954248358</c:v>
                </c:pt>
                <c:pt idx="7">
                  <c:v>7.3202614379084956</c:v>
                </c:pt>
                <c:pt idx="11">
                  <c:v>4.8333333333333446</c:v>
                </c:pt>
                <c:pt idx="12">
                  <c:v>5.0000000000000062</c:v>
                </c:pt>
                <c:pt idx="42">
                  <c:v>9.7677565992478073</c:v>
                </c:pt>
                <c:pt idx="43">
                  <c:v>10.055436318346946</c:v>
                </c:pt>
                <c:pt idx="44">
                  <c:v>9.8067878788984597</c:v>
                </c:pt>
                <c:pt idx="45">
                  <c:v>8.4995967867301569</c:v>
                </c:pt>
                <c:pt idx="46">
                  <c:v>8.4748087568484927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'Rice (Adjusted)'!$AJ$6</c:f>
              <c:strCache>
                <c:ptCount val="1"/>
                <c:pt idx="0">
                  <c:v>Bender Gez &amp; Astarabad,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'Rice (Adjusted)'!$A$7:$A$98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(Adjusted)'!$AJ$31:$AJ$87</c:f>
              <c:numCache>
                <c:formatCode>0.0000</c:formatCode>
                <c:ptCount val="57"/>
                <c:pt idx="17">
                  <c:v>9.570256410256416</c:v>
                </c:pt>
                <c:pt idx="18">
                  <c:v>9.8311111111111131</c:v>
                </c:pt>
                <c:pt idx="42">
                  <c:v>10.528768935218711</c:v>
                </c:pt>
                <c:pt idx="43">
                  <c:v>10.711933113757276</c:v>
                </c:pt>
                <c:pt idx="44">
                  <c:v>9.5763791632882906</c:v>
                </c:pt>
                <c:pt idx="45">
                  <c:v>10.406079008616031</c:v>
                </c:pt>
                <c:pt idx="46">
                  <c:v>10.983446932814024</c:v>
                </c:pt>
              </c:numCache>
            </c:numRef>
          </c:val>
          <c:smooth val="0"/>
        </c:ser>
        <c:ser>
          <c:idx val="18"/>
          <c:order val="12"/>
          <c:tx>
            <c:strRef>
              <c:f>'Rice (Adjusted)'!$AK$6</c:f>
              <c:strCache>
                <c:ptCount val="1"/>
                <c:pt idx="0">
                  <c:v>Astara, Exports,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(Adjusted)'!$A$7:$A$98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(Adjusted)'!$AK$31:$AK$87</c:f>
              <c:numCache>
                <c:formatCode>0.0000</c:formatCode>
                <c:ptCount val="57"/>
                <c:pt idx="44">
                  <c:v>10.672860659700602</c:v>
                </c:pt>
                <c:pt idx="45">
                  <c:v>10.735063159868993</c:v>
                </c:pt>
                <c:pt idx="46">
                  <c:v>9.0894416457605818</c:v>
                </c:pt>
              </c:numCache>
            </c:numRef>
          </c:val>
          <c:smooth val="0"/>
        </c:ser>
        <c:ser>
          <c:idx val="19"/>
          <c:order val="13"/>
          <c:tx>
            <c:strRef>
              <c:f>'Rice (Adjusted)'!$AL$6</c:f>
              <c:strCache>
                <c:ptCount val="1"/>
                <c:pt idx="0">
                  <c:v>Bahrain, Imports,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(Adjusted)'!$A$7:$A$98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(Adjusted)'!$AL$31:$AL$87</c:f>
              <c:numCache>
                <c:formatCode>0.0000</c:formatCode>
                <c:ptCount val="57"/>
                <c:pt idx="32">
                  <c:v>8.8595102040816336</c:v>
                </c:pt>
                <c:pt idx="33">
                  <c:v>11.623164179104478</c:v>
                </c:pt>
                <c:pt idx="34">
                  <c:v>8.7482947368421051</c:v>
                </c:pt>
                <c:pt idx="37">
                  <c:v>7.9998278632086297</c:v>
                </c:pt>
                <c:pt idx="38">
                  <c:v>7.9997294966947869</c:v>
                </c:pt>
                <c:pt idx="39">
                  <c:v>8.8888675408681177</c:v>
                </c:pt>
                <c:pt idx="40">
                  <c:v>8.3333385650294609</c:v>
                </c:pt>
                <c:pt idx="41">
                  <c:v>9.7778315767658057</c:v>
                </c:pt>
                <c:pt idx="42">
                  <c:v>12.333338542724823</c:v>
                </c:pt>
                <c:pt idx="43">
                  <c:v>14.673561100351616</c:v>
                </c:pt>
                <c:pt idx="44">
                  <c:v>20.168544925852192</c:v>
                </c:pt>
                <c:pt idx="45">
                  <c:v>11.666666666666668</c:v>
                </c:pt>
                <c:pt idx="46">
                  <c:v>9.1110879673179781</c:v>
                </c:pt>
                <c:pt idx="47">
                  <c:v>9.7902429389689907</c:v>
                </c:pt>
                <c:pt idx="48">
                  <c:v>10.141817551762973</c:v>
                </c:pt>
                <c:pt idx="49">
                  <c:v>10.467568138601312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'Rice (Adjusted)'!$AM$6</c:f>
              <c:strCache>
                <c:ptCount val="1"/>
                <c:pt idx="0">
                  <c:v>Muscat, Imports, in pound/ton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(Adjusted)'!$A$7:$A$98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(Adjusted)'!$AM$31:$AM$87</c:f>
              <c:numCache>
                <c:formatCode>0.0000</c:formatCode>
                <c:ptCount val="57"/>
                <c:pt idx="10">
                  <c:v>11.65457332773846</c:v>
                </c:pt>
                <c:pt idx="11">
                  <c:v>9.8745878269952208</c:v>
                </c:pt>
                <c:pt idx="12">
                  <c:v>9.5305833164354006</c:v>
                </c:pt>
                <c:pt idx="13">
                  <c:v>11.141127683149382</c:v>
                </c:pt>
                <c:pt idx="14">
                  <c:v>11.62507962196112</c:v>
                </c:pt>
                <c:pt idx="15">
                  <c:v>10.39765027258078</c:v>
                </c:pt>
                <c:pt idx="16">
                  <c:v>8.2612386382281606</c:v>
                </c:pt>
                <c:pt idx="17">
                  <c:v>6.2103417605768394</c:v>
                </c:pt>
                <c:pt idx="18">
                  <c:v>7.1733731965018199</c:v>
                </c:pt>
                <c:pt idx="19">
                  <c:v>13.98493005447834</c:v>
                </c:pt>
                <c:pt idx="20">
                  <c:v>10.877768382583799</c:v>
                </c:pt>
                <c:pt idx="21">
                  <c:v>8.8044672720807799</c:v>
                </c:pt>
                <c:pt idx="22">
                  <c:v>7.6091931870859399</c:v>
                </c:pt>
                <c:pt idx="23">
                  <c:v>7.1303755519334402</c:v>
                </c:pt>
                <c:pt idx="24">
                  <c:v>6.9147762543710201</c:v>
                </c:pt>
                <c:pt idx="25">
                  <c:v>8.4689653801194194</c:v>
                </c:pt>
                <c:pt idx="26">
                  <c:v>9.2909464766590393</c:v>
                </c:pt>
                <c:pt idx="27">
                  <c:v>8.732066971983599</c:v>
                </c:pt>
                <c:pt idx="28">
                  <c:v>8.5830431744376607</c:v>
                </c:pt>
                <c:pt idx="29">
                  <c:v>7.7737239113500802</c:v>
                </c:pt>
                <c:pt idx="30">
                  <c:v>6.0999359975096601</c:v>
                </c:pt>
                <c:pt idx="31">
                  <c:v>6.2843833062896408</c:v>
                </c:pt>
                <c:pt idx="32">
                  <c:v>6.4896824690758006</c:v>
                </c:pt>
                <c:pt idx="33">
                  <c:v>8.4883682462058587</c:v>
                </c:pt>
                <c:pt idx="34">
                  <c:v>8.2129293582167389</c:v>
                </c:pt>
                <c:pt idx="35">
                  <c:v>8.3653735226384001</c:v>
                </c:pt>
                <c:pt idx="36">
                  <c:v>7.6468003735446999</c:v>
                </c:pt>
                <c:pt idx="37">
                  <c:v>8.6502093592495992</c:v>
                </c:pt>
                <c:pt idx="38">
                  <c:v>8.4346865857014599</c:v>
                </c:pt>
                <c:pt idx="39">
                  <c:v>9.3905605283740403</c:v>
                </c:pt>
                <c:pt idx="40">
                  <c:v>7.1564066075722002</c:v>
                </c:pt>
                <c:pt idx="41">
                  <c:v>7</c:v>
                </c:pt>
                <c:pt idx="42">
                  <c:v>8</c:v>
                </c:pt>
                <c:pt idx="43">
                  <c:v>9.166666666666659</c:v>
                </c:pt>
                <c:pt idx="44">
                  <c:v>9</c:v>
                </c:pt>
                <c:pt idx="45">
                  <c:v>9.1</c:v>
                </c:pt>
                <c:pt idx="46">
                  <c:v>10.122095671981779</c:v>
                </c:pt>
                <c:pt idx="47">
                  <c:v>11.107645722937161</c:v>
                </c:pt>
              </c:numCache>
            </c:numRef>
          </c:val>
          <c:smooth val="0"/>
        </c:ser>
        <c:ser>
          <c:idx val="21"/>
          <c:order val="15"/>
          <c:tx>
            <c:strRef>
              <c:f>'Rice (Adjusted)'!$AN$6</c:f>
              <c:strCache>
                <c:ptCount val="1"/>
                <c:pt idx="0">
                  <c:v>Muscat, Exports, in pound/ton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(Adjusted)'!$A$7:$A$98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(Adjusted)'!$AN$31:$AN$87</c:f>
              <c:numCache>
                <c:formatCode>0.0000</c:formatCode>
                <c:ptCount val="57"/>
                <c:pt idx="15">
                  <c:v>6.8123248612692198</c:v>
                </c:pt>
                <c:pt idx="16">
                  <c:v>8.2602152795882606</c:v>
                </c:pt>
                <c:pt idx="17">
                  <c:v>7.0039624431505398</c:v>
                </c:pt>
                <c:pt idx="18">
                  <c:v>6.2182162870265802</c:v>
                </c:pt>
                <c:pt idx="19">
                  <c:v>7.7609016139056397</c:v>
                </c:pt>
                <c:pt idx="20">
                  <c:v>8.2319848787694401</c:v>
                </c:pt>
                <c:pt idx="21">
                  <c:v>8.77400857449088</c:v>
                </c:pt>
                <c:pt idx="22">
                  <c:v>7.6857266229251797</c:v>
                </c:pt>
                <c:pt idx="23">
                  <c:v>7.5692762195475201</c:v>
                </c:pt>
                <c:pt idx="24">
                  <c:v>6.9717797862170805</c:v>
                </c:pt>
                <c:pt idx="25">
                  <c:v>7.7125455037030601</c:v>
                </c:pt>
                <c:pt idx="26">
                  <c:v>8.3875657543932007</c:v>
                </c:pt>
                <c:pt idx="27">
                  <c:v>9.1593535456678605</c:v>
                </c:pt>
                <c:pt idx="28">
                  <c:v>8.97726746038642</c:v>
                </c:pt>
                <c:pt idx="29">
                  <c:v>8.1077711151666207</c:v>
                </c:pt>
                <c:pt idx="30">
                  <c:v>7.3195783243050201</c:v>
                </c:pt>
                <c:pt idx="46">
                  <c:v>9</c:v>
                </c:pt>
              </c:numCache>
            </c:numRef>
          </c:val>
          <c:smooth val="0"/>
        </c:ser>
        <c:ser>
          <c:idx val="22"/>
          <c:order val="16"/>
          <c:tx>
            <c:strRef>
              <c:f>'Rice (Adjusted)'!$AO$6</c:f>
              <c:strCache>
                <c:ptCount val="1"/>
                <c:pt idx="0">
                  <c:v>Mohammerah, Imports, in pound/ton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(Adjusted)'!$A$7:$A$98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(Adjusted)'!$AO$31:$AO$87</c:f>
              <c:numCache>
                <c:formatCode>0.0000</c:formatCode>
                <c:ptCount val="57"/>
                <c:pt idx="26">
                  <c:v>5.9760683760683797</c:v>
                </c:pt>
                <c:pt idx="27">
                  <c:v>6.8736280965819994</c:v>
                </c:pt>
                <c:pt idx="28">
                  <c:v>10</c:v>
                </c:pt>
                <c:pt idx="29">
                  <c:v>6.6666666666666599</c:v>
                </c:pt>
                <c:pt idx="30">
                  <c:v>5.3303637713437197</c:v>
                </c:pt>
                <c:pt idx="31">
                  <c:v>5.0466321243523407</c:v>
                </c:pt>
                <c:pt idx="32">
                  <c:v>12.54861183321202</c:v>
                </c:pt>
                <c:pt idx="33">
                  <c:v>10.063752276867039</c:v>
                </c:pt>
                <c:pt idx="34">
                  <c:v>7.3509490137699993</c:v>
                </c:pt>
                <c:pt idx="35">
                  <c:v>7.7395136282030395</c:v>
                </c:pt>
                <c:pt idx="36">
                  <c:v>5.2297734627831804</c:v>
                </c:pt>
                <c:pt idx="37">
                  <c:v>6.94603903559128</c:v>
                </c:pt>
                <c:pt idx="38">
                  <c:v>7.6464323748668805</c:v>
                </c:pt>
                <c:pt idx="42">
                  <c:v>11.14818449460256</c:v>
                </c:pt>
                <c:pt idx="43">
                  <c:v>13.54736172917992</c:v>
                </c:pt>
                <c:pt idx="44">
                  <c:v>10.058018101647722</c:v>
                </c:pt>
                <c:pt idx="45">
                  <c:v>11.87147082549072</c:v>
                </c:pt>
                <c:pt idx="46">
                  <c:v>10.95896328293736</c:v>
                </c:pt>
                <c:pt idx="47">
                  <c:v>7.1235955056179803</c:v>
                </c:pt>
                <c:pt idx="48">
                  <c:v>11.915760869565219</c:v>
                </c:pt>
              </c:numCache>
            </c:numRef>
          </c:val>
          <c:smooth val="0"/>
        </c:ser>
        <c:ser>
          <c:idx val="23"/>
          <c:order val="17"/>
          <c:tx>
            <c:strRef>
              <c:f>'Rice (Adjusted)'!$AP$6</c:f>
              <c:strCache>
                <c:ptCount val="1"/>
                <c:pt idx="0">
                  <c:v>Mohammerah, Exports, in pound/ton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'Rice (Adjusted)'!$A$7:$A$98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(Adjusted)'!$AP$31:$AP$87</c:f>
              <c:numCache>
                <c:formatCode>0.0000</c:formatCode>
                <c:ptCount val="57"/>
                <c:pt idx="27">
                  <c:v>6.6225165562913997</c:v>
                </c:pt>
                <c:pt idx="28">
                  <c:v>6.6666666666666599</c:v>
                </c:pt>
              </c:numCache>
            </c:numRef>
          </c:val>
          <c:smooth val="0"/>
        </c:ser>
        <c:ser>
          <c:idx val="24"/>
          <c:order val="18"/>
          <c:tx>
            <c:strRef>
              <c:f>'Rice (Adjusted)'!$AQ$6</c:f>
              <c:strCache>
                <c:ptCount val="1"/>
                <c:pt idx="0">
                  <c:v>Lingah, Imports, in pound/ton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'Rice (Adjusted)'!$A$7:$A$98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(Adjusted)'!$AQ$31:$AQ$87</c:f>
              <c:numCache>
                <c:formatCode>0.0000</c:formatCode>
                <c:ptCount val="57"/>
                <c:pt idx="32">
                  <c:v>7.8431666666666597</c:v>
                </c:pt>
                <c:pt idx="33">
                  <c:v>10.833333333333339</c:v>
                </c:pt>
                <c:pt idx="34">
                  <c:v>7.5</c:v>
                </c:pt>
                <c:pt idx="35">
                  <c:v>8</c:v>
                </c:pt>
                <c:pt idx="42">
                  <c:v>9.7680551798755797</c:v>
                </c:pt>
                <c:pt idx="43">
                  <c:v>11.62276004854716</c:v>
                </c:pt>
                <c:pt idx="44">
                  <c:v>11.74997207293308</c:v>
                </c:pt>
                <c:pt idx="45">
                  <c:v>6.6531827166948796</c:v>
                </c:pt>
                <c:pt idx="46">
                  <c:v>10.772308825334481</c:v>
                </c:pt>
                <c:pt idx="47">
                  <c:v>10.5149856175188</c:v>
                </c:pt>
                <c:pt idx="48">
                  <c:v>12.9020545111918</c:v>
                </c:pt>
              </c:numCache>
            </c:numRef>
          </c:val>
          <c:smooth val="0"/>
        </c:ser>
        <c:ser>
          <c:idx val="25"/>
          <c:order val="19"/>
          <c:tx>
            <c:strRef>
              <c:f>'Rice (Adjusted)'!$AR$6</c:f>
              <c:strCache>
                <c:ptCount val="1"/>
                <c:pt idx="0">
                  <c:v>Lingah, Exports, in pound/ton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'Rice (Adjusted)'!$A$7:$A$98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(Adjusted)'!$AR$31:$AR$87</c:f>
              <c:numCache>
                <c:formatCode>0.0000</c:formatCode>
                <c:ptCount val="57"/>
                <c:pt idx="32">
                  <c:v>6.9884757039325196</c:v>
                </c:pt>
                <c:pt idx="33">
                  <c:v>10.83346405228758</c:v>
                </c:pt>
                <c:pt idx="34">
                  <c:v>7.5</c:v>
                </c:pt>
                <c:pt idx="35">
                  <c:v>8</c:v>
                </c:pt>
                <c:pt idx="45">
                  <c:v>12.877307274701419</c:v>
                </c:pt>
                <c:pt idx="46">
                  <c:v>8.9367253750815401</c:v>
                </c:pt>
                <c:pt idx="47">
                  <c:v>11.6858761476851</c:v>
                </c:pt>
                <c:pt idx="48">
                  <c:v>10.470490440565261</c:v>
                </c:pt>
              </c:numCache>
            </c:numRef>
          </c:val>
          <c:smooth val="0"/>
        </c:ser>
        <c:ser>
          <c:idx val="0"/>
          <c:order val="20"/>
          <c:tx>
            <c:strRef>
              <c:f>'Rice (Adjusted)'!$AS$6</c:f>
              <c:strCache>
                <c:ptCount val="1"/>
                <c:pt idx="0">
                  <c:v>India, Exports, in pound/ton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'Rice (Adjusted)'!$A$7:$A$98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(Adjusted)'!$AS$7:$AS$98</c:f>
              <c:numCache>
                <c:formatCode>General</c:formatCode>
                <c:ptCount val="92"/>
                <c:pt idx="3" formatCode="0.0000">
                  <c:v>3.7608616799828365</c:v>
                </c:pt>
                <c:pt idx="4" formatCode="0.0000">
                  <c:v>3.7015410456678532</c:v>
                </c:pt>
                <c:pt idx="5" formatCode="0.0000">
                  <c:v>4.2181898789867027</c:v>
                </c:pt>
                <c:pt idx="6" formatCode="0.0000">
                  <c:v>4.7159384471137127</c:v>
                </c:pt>
                <c:pt idx="7" formatCode="0.0000">
                  <c:v>4.1301965651342654</c:v>
                </c:pt>
                <c:pt idx="8" formatCode="0.0000">
                  <c:v>3.0483279199617619</c:v>
                </c:pt>
                <c:pt idx="9" formatCode="0.0000">
                  <c:v>3.0611360204658022</c:v>
                </c:pt>
                <c:pt idx="10" formatCode="0.0000">
                  <c:v>3.0371832091335698</c:v>
                </c:pt>
                <c:pt idx="11" formatCode="0.0000">
                  <c:v>3.6730970822108273</c:v>
                </c:pt>
                <c:pt idx="12" formatCode="0.0000">
                  <c:v>4.1059110758668629</c:v>
                </c:pt>
                <c:pt idx="13" formatCode="0.0000">
                  <c:v>3.9078013654731896</c:v>
                </c:pt>
                <c:pt idx="14" formatCode="0.0000">
                  <c:v>4.2556161466933169</c:v>
                </c:pt>
                <c:pt idx="15" formatCode="0.0000">
                  <c:v>4.3650256026223158</c:v>
                </c:pt>
                <c:pt idx="16" formatCode="0.0000">
                  <c:v>4.528204129823151</c:v>
                </c:pt>
                <c:pt idx="17" formatCode="0.0000">
                  <c:v>5.0124584492048294</c:v>
                </c:pt>
                <c:pt idx="18" formatCode="0.0000">
                  <c:v>5.7520430838294079</c:v>
                </c:pt>
                <c:pt idx="19" formatCode="0.0000">
                  <c:v>6.8547456846919248</c:v>
                </c:pt>
                <c:pt idx="20" formatCode="0.0000">
                  <c:v>6.9501410826018928</c:v>
                </c:pt>
                <c:pt idx="21" formatCode="0.0000">
                  <c:v>4.6756035577378006</c:v>
                </c:pt>
                <c:pt idx="22" formatCode="0.0000">
                  <c:v>4.5783137438081161</c:v>
                </c:pt>
                <c:pt idx="23" formatCode="0.0000">
                  <c:v>4.2275207029778965</c:v>
                </c:pt>
                <c:pt idx="24" formatCode="0.0000">
                  <c:v>5.6285918467201101</c:v>
                </c:pt>
                <c:pt idx="25" formatCode="0.0000">
                  <c:v>7.0986656088111815</c:v>
                </c:pt>
                <c:pt idx="26" formatCode="0.0000">
                  <c:v>9.9234501281828429</c:v>
                </c:pt>
                <c:pt idx="27" formatCode="0.0000">
                  <c:v>7.2935062964391228</c:v>
                </c:pt>
                <c:pt idx="28" formatCode="0.0000">
                  <c:v>5.4383168846489269</c:v>
                </c:pt>
                <c:pt idx="29" formatCode="0.0000">
                  <c:v>6.5213029342519926</c:v>
                </c:pt>
                <c:pt idx="30" formatCode="0.0000">
                  <c:v>5.5507379302845772</c:v>
                </c:pt>
                <c:pt idx="31" formatCode="0.0000">
                  <c:v>5.3819434089213258</c:v>
                </c:pt>
                <c:pt idx="32" formatCode="0.0000">
                  <c:v>5.0880807822578626</c:v>
                </c:pt>
                <c:pt idx="33" formatCode="0.0000">
                  <c:v>5.6077829130209293</c:v>
                </c:pt>
                <c:pt idx="34" formatCode="0.0000">
                  <c:v>7.8469039034782231</c:v>
                </c:pt>
                <c:pt idx="35" formatCode="0.0000">
                  <c:v>7.0850618448165283</c:v>
                </c:pt>
                <c:pt idx="36" formatCode="0.0000">
                  <c:v>5.5684579089648025</c:v>
                </c:pt>
                <c:pt idx="37" formatCode="0.0000">
                  <c:v>7.7354174840054615</c:v>
                </c:pt>
                <c:pt idx="38" formatCode="0.0000">
                  <c:v>8.3007011599028537</c:v>
                </c:pt>
                <c:pt idx="39" formatCode="0.0000">
                  <c:v>8.910271947292058</c:v>
                </c:pt>
                <c:pt idx="40" formatCode="0.0000">
                  <c:v>6.9526158608533928</c:v>
                </c:pt>
                <c:pt idx="41" formatCode="0.0000">
                  <c:v>5.2731142309322339</c:v>
                </c:pt>
                <c:pt idx="42" formatCode="0.0000">
                  <c:v>4.8733929656772768</c:v>
                </c:pt>
                <c:pt idx="43" formatCode="0.0000">
                  <c:v>5.5244581053823731</c:v>
                </c:pt>
                <c:pt idx="44" formatCode="0.0000">
                  <c:v>6.9520878971754509</c:v>
                </c:pt>
                <c:pt idx="45" formatCode="0.0000">
                  <c:v>6.3596543915900314</c:v>
                </c:pt>
                <c:pt idx="46" formatCode="0.0000">
                  <c:v>6.0730372779778667</c:v>
                </c:pt>
                <c:pt idx="47" formatCode="0.0000">
                  <c:v>4.9248577826869866</c:v>
                </c:pt>
                <c:pt idx="48" formatCode="0.0000">
                  <c:v>5.0419363802408634</c:v>
                </c:pt>
                <c:pt idx="49" formatCode="0.0000">
                  <c:v>6.1710450252651574</c:v>
                </c:pt>
                <c:pt idx="50" formatCode="0.0000">
                  <c:v>6.9650139209139095</c:v>
                </c:pt>
                <c:pt idx="51" formatCode="0.0000">
                  <c:v>6.4266138337112517</c:v>
                </c:pt>
                <c:pt idx="52" formatCode="0.0000">
                  <c:v>6.6454312087835019</c:v>
                </c:pt>
                <c:pt idx="53" formatCode="0.0000">
                  <c:v>6.5841767413581254</c:v>
                </c:pt>
                <c:pt idx="54" formatCode="0.0000">
                  <c:v>5.3231143495794386</c:v>
                </c:pt>
                <c:pt idx="55" formatCode="0.0000">
                  <c:v>4.0855123070908261</c:v>
                </c:pt>
                <c:pt idx="56" formatCode="0.0000">
                  <c:v>4.9356283010120263</c:v>
                </c:pt>
                <c:pt idx="57" formatCode="0.0000">
                  <c:v>6.9109219969437339</c:v>
                </c:pt>
                <c:pt idx="58" formatCode="0.0000">
                  <c:v>5.7133133311422934</c:v>
                </c:pt>
                <c:pt idx="59" formatCode="0.0000">
                  <c:v>5.0584176867490225</c:v>
                </c:pt>
                <c:pt idx="60" formatCode="0.0000">
                  <c:v>5.1969100069870748</c:v>
                </c:pt>
                <c:pt idx="61" formatCode="0.0000">
                  <c:v>5.8426308112715182</c:v>
                </c:pt>
                <c:pt idx="62" formatCode="0.0000">
                  <c:v>5.9484006924269099</c:v>
                </c:pt>
                <c:pt idx="63" formatCode="0.0000">
                  <c:v>5.2757019581059224</c:v>
                </c:pt>
                <c:pt idx="64" formatCode="0.0000">
                  <c:v>5.3996925583650039</c:v>
                </c:pt>
                <c:pt idx="65" formatCode="0.0000">
                  <c:v>5.2573996298640449</c:v>
                </c:pt>
                <c:pt idx="66" formatCode="0.0000">
                  <c:v>6.8502218719548713</c:v>
                </c:pt>
                <c:pt idx="67" formatCode="0.0000">
                  <c:v>8.7143085606351267</c:v>
                </c:pt>
                <c:pt idx="68" formatCode="0.0000">
                  <c:v>8.7669677266104014</c:v>
                </c:pt>
                <c:pt idx="69" formatCode="0.0000">
                  <c:v>7.974917970299729</c:v>
                </c:pt>
                <c:pt idx="70" formatCode="0.0000">
                  <c:v>5.0062479620664897</c:v>
                </c:pt>
                <c:pt idx="71" formatCode="0.0000">
                  <c:v>6.0283183692320117</c:v>
                </c:pt>
                <c:pt idx="72" formatCode="0.0000">
                  <c:v>6.9305741659106532</c:v>
                </c:pt>
                <c:pt idx="73" formatCode="0.0000">
                  <c:v>7.5077055769126764</c:v>
                </c:pt>
                <c:pt idx="74" formatCode="0.0000">
                  <c:v>5.1293626234694747</c:v>
                </c:pt>
                <c:pt idx="75" formatCode="0.0000">
                  <c:v>5.3536185854752993</c:v>
                </c:pt>
                <c:pt idx="76" formatCode="0.0000">
                  <c:v>5.4676347320569336</c:v>
                </c:pt>
                <c:pt idx="77" formatCode="0.0000">
                  <c:v>4.9457100320785736</c:v>
                </c:pt>
                <c:pt idx="78" formatCode="0.0000">
                  <c:v>3.8787878787878789</c:v>
                </c:pt>
                <c:pt idx="79" formatCode="0.0000">
                  <c:v>6.2622874701322644</c:v>
                </c:pt>
                <c:pt idx="80" formatCode="0.0000">
                  <c:v>8.8332105831042433</c:v>
                </c:pt>
                <c:pt idx="81" formatCode="0.0000">
                  <c:v>6.9042376893939386</c:v>
                </c:pt>
                <c:pt idx="82" formatCode="0.0000">
                  <c:v>6.4655539772727275</c:v>
                </c:pt>
                <c:pt idx="83" formatCode="0.0000">
                  <c:v>5.5517578125</c:v>
                </c:pt>
                <c:pt idx="84" formatCode="0.0000">
                  <c:v>5.856001420454545</c:v>
                </c:pt>
                <c:pt idx="85" formatCode="0.0000">
                  <c:v>6.9208984375</c:v>
                </c:pt>
                <c:pt idx="86" formatCode="0.0000">
                  <c:v>6.7086292613636367</c:v>
                </c:pt>
                <c:pt idx="87" formatCode="0.0000">
                  <c:v>6.826704545454545</c:v>
                </c:pt>
                <c:pt idx="88" formatCode="0.0000">
                  <c:v>6.5878462357954541</c:v>
                </c:pt>
                <c:pt idx="89" formatCode="0.0000">
                  <c:v>5.8700284090909083</c:v>
                </c:pt>
                <c:pt idx="90" formatCode="0.0000">
                  <c:v>5.1653993983957207</c:v>
                </c:pt>
                <c:pt idx="91" formatCode="0.0000">
                  <c:v>3.5011280080213893</c:v>
                </c:pt>
              </c:numCache>
            </c:numRef>
          </c:val>
          <c:smooth val="0"/>
        </c:ser>
        <c:ser>
          <c:idx val="1"/>
          <c:order val="21"/>
          <c:tx>
            <c:strRef>
              <c:f>'Rice (Adjusted)'!$AT$6</c:f>
              <c:strCache>
                <c:ptCount val="1"/>
                <c:pt idx="0">
                  <c:v>India, Wholesale, in pound/ton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'Rice (Adjusted)'!$A$7:$A$98</c:f>
              <c:numCache>
                <c:formatCode>General</c:formatCode>
                <c:ptCount val="92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</c:numCache>
            </c:numRef>
          </c:cat>
          <c:val>
            <c:numRef>
              <c:f>'Rice (Adjusted)'!$AT$7:$AT$98</c:f>
              <c:numCache>
                <c:formatCode>General</c:formatCode>
                <c:ptCount val="92"/>
                <c:pt idx="33" formatCode="0.0000">
                  <c:v>6.2423500575674469</c:v>
                </c:pt>
                <c:pt idx="44" formatCode="0.0000">
                  <c:v>5.7528409090909092</c:v>
                </c:pt>
                <c:pt idx="45" formatCode="0.0000">
                  <c:v>5.1870265151515147</c:v>
                </c:pt>
                <c:pt idx="46" formatCode="0.0000">
                  <c:v>5.1175394144144146</c:v>
                </c:pt>
                <c:pt idx="47" formatCode="0.0000">
                  <c:v>5.1314986861861867</c:v>
                </c:pt>
                <c:pt idx="48" formatCode="0.0000">
                  <c:v>5.3696167758667768</c:v>
                </c:pt>
                <c:pt idx="49" formatCode="0.0000">
                  <c:v>5.9939364079803896</c:v>
                </c:pt>
                <c:pt idx="50" formatCode="0.0000">
                  <c:v>5.9286775411775414</c:v>
                </c:pt>
                <c:pt idx="51" formatCode="0.0000">
                  <c:v>6.9333673159946301</c:v>
                </c:pt>
                <c:pt idx="52" formatCode="0.0000">
                  <c:v>6.8190491627806438</c:v>
                </c:pt>
                <c:pt idx="53" formatCode="0.0000">
                  <c:v>5.1374176596264114</c:v>
                </c:pt>
                <c:pt idx="54" formatCode="0.0000">
                  <c:v>4.4127064564333418</c:v>
                </c:pt>
                <c:pt idx="55" formatCode="0.0000">
                  <c:v>4.3406761253325055</c:v>
                </c:pt>
                <c:pt idx="56" formatCode="0.0000">
                  <c:v>5.172766516513061</c:v>
                </c:pt>
                <c:pt idx="57" formatCode="0.0000">
                  <c:v>5.8983334494751603</c:v>
                </c:pt>
                <c:pt idx="58" formatCode="0.0000">
                  <c:v>5.3438995636252002</c:v>
                </c:pt>
                <c:pt idx="59" formatCode="0.0000">
                  <c:v>5.56998588903443</c:v>
                </c:pt>
                <c:pt idx="60" formatCode="0.0000">
                  <c:v>5.6768502878172669</c:v>
                </c:pt>
                <c:pt idx="61" formatCode="0.0000">
                  <c:v>5.1326686741085048</c:v>
                </c:pt>
                <c:pt idx="62" formatCode="0.0000">
                  <c:v>4.8725678803526025</c:v>
                </c:pt>
                <c:pt idx="63" formatCode="0.0000">
                  <c:v>5.9476038538441527</c:v>
                </c:pt>
                <c:pt idx="64" formatCode="0.0000">
                  <c:v>5.1615829592743552</c:v>
                </c:pt>
                <c:pt idx="65" formatCode="0.0000">
                  <c:v>5.5816676051090255</c:v>
                </c:pt>
                <c:pt idx="66" formatCode="0.0000">
                  <c:v>6.2739586176951585</c:v>
                </c:pt>
                <c:pt idx="67" formatCode="0.0000">
                  <c:v>7.0582989239590042</c:v>
                </c:pt>
                <c:pt idx="68" formatCode="0.0000">
                  <c:v>6.9448209110212495</c:v>
                </c:pt>
                <c:pt idx="69" formatCode="0.0000">
                  <c:v>5.922744172725654</c:v>
                </c:pt>
                <c:pt idx="70" formatCode="0.0000">
                  <c:v>5.6534860716323223</c:v>
                </c:pt>
                <c:pt idx="71" formatCode="0.0000">
                  <c:v>7.1617688166944831</c:v>
                </c:pt>
                <c:pt idx="72" formatCode="0.0000">
                  <c:v>8.3753396253158368</c:v>
                </c:pt>
                <c:pt idx="73" formatCode="0.0000">
                  <c:v>6.7763577880668295</c:v>
                </c:pt>
                <c:pt idx="74" formatCode="0.0000">
                  <c:v>5.7118055555555562</c:v>
                </c:pt>
                <c:pt idx="75" formatCode="0.0000">
                  <c:v>7.588541666666667</c:v>
                </c:pt>
                <c:pt idx="76" formatCode="0.0000">
                  <c:v>8.60647627313889</c:v>
                </c:pt>
                <c:pt idx="77" formatCode="0.0000">
                  <c:v>11.123263888888888</c:v>
                </c:pt>
                <c:pt idx="78" formatCode="0.0000">
                  <c:v>11.592881944444445</c:v>
                </c:pt>
                <c:pt idx="79" formatCode="0.0000">
                  <c:v>14.801118026740433</c:v>
                </c:pt>
                <c:pt idx="80" formatCode="0.0000">
                  <c:v>15.533351117189225</c:v>
                </c:pt>
                <c:pt idx="81" formatCode="0.0000">
                  <c:v>12.822916666666668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980704"/>
        <c:axId val="540959984"/>
      </c:lineChart>
      <c:catAx>
        <c:axId val="54098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959984"/>
        <c:crosses val="autoZero"/>
        <c:auto val="1"/>
        <c:lblAlgn val="ctr"/>
        <c:lblOffset val="100"/>
        <c:noMultiLvlLbl val="0"/>
      </c:catAx>
      <c:valAx>
        <c:axId val="540959984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980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32188708040884"/>
          <c:y val="0.14616701875680174"/>
          <c:w val="0.21741826201437281"/>
          <c:h val="0.768870030727866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Mosul,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(All)'!$M$7:$M$107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(All)'!$M$7:$M$107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52736"/>
        <c:axId val="622149376"/>
      </c:scatterChart>
      <c:valAx>
        <c:axId val="6221527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49376"/>
        <c:crosses val="autoZero"/>
        <c:crossBetween val="midCat"/>
        <c:majorUnit val="5"/>
      </c:valAx>
      <c:valAx>
        <c:axId val="62214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527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Mosul,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(All)'!$N$7:$N$107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(All)'!$N$7:$N$107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07376"/>
        <c:axId val="622148256"/>
      </c:scatterChart>
      <c:valAx>
        <c:axId val="6221073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48256"/>
        <c:crosses val="autoZero"/>
        <c:crossBetween val="midCat"/>
        <c:majorUnit val="5"/>
      </c:valAx>
      <c:valAx>
        <c:axId val="6221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073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Damascus,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(All)'!$V$7:$V$107</c:f>
              <c:numCache>
                <c:formatCode>0.0000</c:formatCode>
                <c:ptCount val="101"/>
                <c:pt idx="42" formatCode="_(* #,##0.0000_);_(* \(#,##0.0000\);_(* &quot;-&quot;??_);_(@_)">
                  <c:v>14.227131471408619</c:v>
                </c:pt>
                <c:pt idx="47" formatCode="_(* #,##0.0000_);_(* \(#,##0.0000\);_(* &quot;-&quot;??_);_(@_)">
                  <c:v>14.546115307738233</c:v>
                </c:pt>
                <c:pt idx="48" formatCode="_(* #,##0.0000_);_(* \(#,##0.0000\);_(* &quot;-&quot;??_);_(@_)">
                  <c:v>29.014177382129905</c:v>
                </c:pt>
                <c:pt idx="49" formatCode="_(* #,##0.0000_);_(* \(#,##0.0000\);_(* &quot;-&quot;??_);_(@_)">
                  <c:v>15.263140484932686</c:v>
                </c:pt>
                <c:pt idx="50" formatCode="_(* #,##0.0000_);_(* \(#,##0.0000\);_(* &quot;-&quot;??_);_(@_)">
                  <c:v>19.012410879324001</c:v>
                </c:pt>
                <c:pt idx="51" formatCode="_(* #,##0.0000_);_(* \(#,##0.0000\);_(* &quot;-&quot;??_);_(@_)">
                  <c:v>16.377649325626205</c:v>
                </c:pt>
                <c:pt idx="52" formatCode="_(* #,##0.0000_);_(* \(#,##0.0000\);_(* &quot;-&quot;??_);_(@_)">
                  <c:v>17.066666666666666</c:v>
                </c:pt>
                <c:pt idx="53" formatCode="_(* #,##0.0000_);_(* \(#,##0.0000\);_(* &quot;-&quot;??_);_(@_)">
                  <c:v>19.106759016001909</c:v>
                </c:pt>
                <c:pt idx="54" formatCode="_(* #,##0.0000_);_(* \(#,##0.0000\);_(* &quot;-&quot;??_);_(@_)">
                  <c:v>16.279069767441861</c:v>
                </c:pt>
                <c:pt idx="58" formatCode="_(* #,##0.0000_);_(* \(#,##0.0000\);_(* &quot;-&quot;??_);_(@_)">
                  <c:v>16</c:v>
                </c:pt>
                <c:pt idx="61" formatCode="_(* #,##0.0000_);_(* \(#,##0.0000\);_(* &quot;-&quot;??_);_(@_)">
                  <c:v>15.925925925925926</c:v>
                </c:pt>
                <c:pt idx="62" formatCode="_(* #,##0.0000_);_(* \(#,##0.0000\);_(* &quot;-&quot;??_);_(@_)">
                  <c:v>16.279069767441861</c:v>
                </c:pt>
                <c:pt idx="63" formatCode="_(* #,##0.0000_);_(* \(#,##0.0000\);_(* &quot;-&quot;??_);_(@_)">
                  <c:v>16.5</c:v>
                </c:pt>
                <c:pt idx="64" formatCode="_(* #,##0.0000_);_(* \(#,##0.0000\);_(* &quot;-&quot;??_);_(@_)">
                  <c:v>14.761904761904763</c:v>
                </c:pt>
                <c:pt idx="68" formatCode="_(* #,##0.0000_);_(* \(#,##0.0000\);_(* &quot;-&quot;??_);_(@_)">
                  <c:v>20</c:v>
                </c:pt>
                <c:pt idx="69" formatCode="_(* #,##0.0000_);_(* \(#,##0.0000\);_(* &quot;-&quot;??_);_(@_)">
                  <c:v>20</c:v>
                </c:pt>
                <c:pt idx="70" formatCode="_(* #,##0.0000_);_(* \(#,##0.0000\);_(* &quot;-&quot;??_);_(@_)">
                  <c:v>20</c:v>
                </c:pt>
                <c:pt idx="71" formatCode="_(* #,##0.0000_);_(* \(#,##0.0000\);_(* &quot;-&quot;??_);_(@_)">
                  <c:v>20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(All)'!$V$7:$V$107</c:f>
              <c:numCache>
                <c:formatCode>0.0000</c:formatCode>
                <c:ptCount val="101"/>
                <c:pt idx="42" formatCode="_(* #,##0.0000_);_(* \(#,##0.0000\);_(* &quot;-&quot;??_);_(@_)">
                  <c:v>14.227131471408619</c:v>
                </c:pt>
                <c:pt idx="47" formatCode="_(* #,##0.0000_);_(* \(#,##0.0000\);_(* &quot;-&quot;??_);_(@_)">
                  <c:v>14.546115307738233</c:v>
                </c:pt>
                <c:pt idx="48" formatCode="_(* #,##0.0000_);_(* \(#,##0.0000\);_(* &quot;-&quot;??_);_(@_)">
                  <c:v>29.014177382129905</c:v>
                </c:pt>
                <c:pt idx="49" formatCode="_(* #,##0.0000_);_(* \(#,##0.0000\);_(* &quot;-&quot;??_);_(@_)">
                  <c:v>15.263140484932686</c:v>
                </c:pt>
                <c:pt idx="50" formatCode="_(* #,##0.0000_);_(* \(#,##0.0000\);_(* &quot;-&quot;??_);_(@_)">
                  <c:v>19.012410879324001</c:v>
                </c:pt>
                <c:pt idx="51" formatCode="_(* #,##0.0000_);_(* \(#,##0.0000\);_(* &quot;-&quot;??_);_(@_)">
                  <c:v>16.377649325626205</c:v>
                </c:pt>
                <c:pt idx="52" formatCode="_(* #,##0.0000_);_(* \(#,##0.0000\);_(* &quot;-&quot;??_);_(@_)">
                  <c:v>17.066666666666666</c:v>
                </c:pt>
                <c:pt idx="53" formatCode="_(* #,##0.0000_);_(* \(#,##0.0000\);_(* &quot;-&quot;??_);_(@_)">
                  <c:v>19.106759016001909</c:v>
                </c:pt>
                <c:pt idx="54" formatCode="_(* #,##0.0000_);_(* \(#,##0.0000\);_(* &quot;-&quot;??_);_(@_)">
                  <c:v>16.279069767441861</c:v>
                </c:pt>
                <c:pt idx="58" formatCode="_(* #,##0.0000_);_(* \(#,##0.0000\);_(* &quot;-&quot;??_);_(@_)">
                  <c:v>16</c:v>
                </c:pt>
                <c:pt idx="61" formatCode="_(* #,##0.0000_);_(* \(#,##0.0000\);_(* &quot;-&quot;??_);_(@_)">
                  <c:v>15.925925925925926</c:v>
                </c:pt>
                <c:pt idx="62" formatCode="_(* #,##0.0000_);_(* \(#,##0.0000\);_(* &quot;-&quot;??_);_(@_)">
                  <c:v>16.279069767441861</c:v>
                </c:pt>
                <c:pt idx="63" formatCode="_(* #,##0.0000_);_(* \(#,##0.0000\);_(* &quot;-&quot;??_);_(@_)">
                  <c:v>16.5</c:v>
                </c:pt>
                <c:pt idx="64" formatCode="_(* #,##0.0000_);_(* \(#,##0.0000\);_(* &quot;-&quot;??_);_(@_)">
                  <c:v>14.761904761904763</c:v>
                </c:pt>
                <c:pt idx="68" formatCode="_(* #,##0.0000_);_(* \(#,##0.0000\);_(* &quot;-&quot;??_);_(@_)">
                  <c:v>20</c:v>
                </c:pt>
                <c:pt idx="69" formatCode="_(* #,##0.0000_);_(* \(#,##0.0000\);_(* &quot;-&quot;??_);_(@_)">
                  <c:v>20</c:v>
                </c:pt>
                <c:pt idx="70" formatCode="_(* #,##0.0000_);_(* \(#,##0.0000\);_(* &quot;-&quot;??_);_(@_)">
                  <c:v>20</c:v>
                </c:pt>
                <c:pt idx="71" formatCode="_(* #,##0.0000_);_(* \(#,##0.0000\);_(* &quot;-&quot;??_);_(@_)">
                  <c:v>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45456"/>
        <c:axId val="622144896"/>
      </c:scatterChart>
      <c:valAx>
        <c:axId val="6221454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44896"/>
        <c:crosses val="autoZero"/>
        <c:crossBetween val="midCat"/>
        <c:majorUnit val="5"/>
      </c:valAx>
      <c:valAx>
        <c:axId val="62214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454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Damascus,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(All)'!$W$7:$W$107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(All)'!$W$7:$W$107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40416"/>
        <c:axId val="622139856"/>
      </c:scatterChart>
      <c:valAx>
        <c:axId val="6221404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39856"/>
        <c:crosses val="autoZero"/>
        <c:crossBetween val="midCat"/>
        <c:majorUnit val="5"/>
      </c:valAx>
      <c:valAx>
        <c:axId val="62213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404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Damascus,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(All)'!$X$7:$X$107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(All)'!$X$7:$X$107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15216"/>
        <c:axId val="622132016"/>
      </c:scatterChart>
      <c:valAx>
        <c:axId val="6221152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32016"/>
        <c:crosses val="autoZero"/>
        <c:crossBetween val="midCat"/>
        <c:majorUnit val="5"/>
      </c:valAx>
      <c:valAx>
        <c:axId val="62213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152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Beirut,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(All)'!$Y$7:$Y$107</c:f>
              <c:numCache>
                <c:formatCode>0.0000</c:formatCode>
                <c:ptCount val="101"/>
                <c:pt idx="31">
                  <c:v>15.65625</c:v>
                </c:pt>
                <c:pt idx="32">
                  <c:v>16.78125</c:v>
                </c:pt>
                <c:pt idx="33">
                  <c:v>18.291666666666664</c:v>
                </c:pt>
                <c:pt idx="36">
                  <c:v>11</c:v>
                </c:pt>
                <c:pt idx="38">
                  <c:v>16.48544423440454</c:v>
                </c:pt>
                <c:pt idx="39">
                  <c:v>13.999321573948439</c:v>
                </c:pt>
                <c:pt idx="41">
                  <c:v>11.87648456057007</c:v>
                </c:pt>
                <c:pt idx="42">
                  <c:v>12.022194821208386</c:v>
                </c:pt>
                <c:pt idx="43">
                  <c:v>11.750096824167313</c:v>
                </c:pt>
                <c:pt idx="44">
                  <c:v>10</c:v>
                </c:pt>
                <c:pt idx="45">
                  <c:v>10</c:v>
                </c:pt>
                <c:pt idx="46">
                  <c:v>9.25</c:v>
                </c:pt>
                <c:pt idx="47">
                  <c:v>8.25</c:v>
                </c:pt>
                <c:pt idx="48">
                  <c:v>9.3333333333333339</c:v>
                </c:pt>
                <c:pt idx="49">
                  <c:v>8.5</c:v>
                </c:pt>
                <c:pt idx="50">
                  <c:v>8.75</c:v>
                </c:pt>
                <c:pt idx="51">
                  <c:v>8.5</c:v>
                </c:pt>
                <c:pt idx="52">
                  <c:v>9</c:v>
                </c:pt>
                <c:pt idx="53">
                  <c:v>9.5</c:v>
                </c:pt>
                <c:pt idx="54">
                  <c:v>7.25</c:v>
                </c:pt>
                <c:pt idx="55">
                  <c:v>10.120481927710843</c:v>
                </c:pt>
                <c:pt idx="56">
                  <c:v>9</c:v>
                </c:pt>
                <c:pt idx="57">
                  <c:v>9</c:v>
                </c:pt>
                <c:pt idx="58">
                  <c:v>9.25</c:v>
                </c:pt>
                <c:pt idx="59">
                  <c:v>8.5</c:v>
                </c:pt>
                <c:pt idx="60">
                  <c:v>9</c:v>
                </c:pt>
                <c:pt idx="61">
                  <c:v>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(All)'!$Y$7:$Y$107</c:f>
              <c:numCache>
                <c:formatCode>0.0000</c:formatCode>
                <c:ptCount val="101"/>
                <c:pt idx="31">
                  <c:v>15.65625</c:v>
                </c:pt>
                <c:pt idx="32">
                  <c:v>16.78125</c:v>
                </c:pt>
                <c:pt idx="33">
                  <c:v>18.291666666666664</c:v>
                </c:pt>
                <c:pt idx="36">
                  <c:v>11</c:v>
                </c:pt>
                <c:pt idx="38">
                  <c:v>16.48544423440454</c:v>
                </c:pt>
                <c:pt idx="39">
                  <c:v>13.999321573948439</c:v>
                </c:pt>
                <c:pt idx="41">
                  <c:v>11.87648456057007</c:v>
                </c:pt>
                <c:pt idx="42">
                  <c:v>12.022194821208386</c:v>
                </c:pt>
                <c:pt idx="43">
                  <c:v>11.750096824167313</c:v>
                </c:pt>
                <c:pt idx="44">
                  <c:v>10</c:v>
                </c:pt>
                <c:pt idx="45">
                  <c:v>10</c:v>
                </c:pt>
                <c:pt idx="46">
                  <c:v>9.25</c:v>
                </c:pt>
                <c:pt idx="47">
                  <c:v>8.25</c:v>
                </c:pt>
                <c:pt idx="48">
                  <c:v>9.3333333333333339</c:v>
                </c:pt>
                <c:pt idx="49">
                  <c:v>8.5</c:v>
                </c:pt>
                <c:pt idx="50">
                  <c:v>8.75</c:v>
                </c:pt>
                <c:pt idx="51">
                  <c:v>8.5</c:v>
                </c:pt>
                <c:pt idx="52">
                  <c:v>9</c:v>
                </c:pt>
                <c:pt idx="53">
                  <c:v>9.5</c:v>
                </c:pt>
                <c:pt idx="54">
                  <c:v>7.25</c:v>
                </c:pt>
                <c:pt idx="55">
                  <c:v>10.120481927710843</c:v>
                </c:pt>
                <c:pt idx="56">
                  <c:v>9</c:v>
                </c:pt>
                <c:pt idx="57">
                  <c:v>9</c:v>
                </c:pt>
                <c:pt idx="58">
                  <c:v>9.25</c:v>
                </c:pt>
                <c:pt idx="59">
                  <c:v>8.5</c:v>
                </c:pt>
                <c:pt idx="60">
                  <c:v>9</c:v>
                </c:pt>
                <c:pt idx="61">
                  <c:v>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29216"/>
        <c:axId val="622128656"/>
      </c:scatterChart>
      <c:valAx>
        <c:axId val="6221292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28656"/>
        <c:crosses val="autoZero"/>
        <c:crossBetween val="midCat"/>
        <c:majorUnit val="5"/>
      </c:valAx>
      <c:valAx>
        <c:axId val="62212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292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Beirut,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(All)'!$AA$7:$AA$107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(All)'!$AA$7:$AA$107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25856"/>
        <c:axId val="622125296"/>
      </c:scatterChart>
      <c:valAx>
        <c:axId val="6221258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25296"/>
        <c:crosses val="autoZero"/>
        <c:crossBetween val="midCat"/>
        <c:majorUnit val="5"/>
      </c:valAx>
      <c:valAx>
        <c:axId val="62212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258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Beirut,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(All)'!$Z$7:$Z$107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(All)'!$Z$7:$Z$107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04576"/>
        <c:axId val="622104016"/>
      </c:scatterChart>
      <c:valAx>
        <c:axId val="6221045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04016"/>
        <c:crosses val="autoZero"/>
        <c:crossBetween val="midCat"/>
        <c:majorUnit val="5"/>
      </c:valAx>
      <c:valAx>
        <c:axId val="62210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045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4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(All)'!$G$7:$G$107</c:f>
              <c:numCache>
                <c:formatCode>0.0000</c:formatCode>
                <c:ptCount val="101"/>
                <c:pt idx="27" formatCode="_(* #,##0.0000_);_(* \(#,##0.0000\);_(* &quot;-&quot;??_);_(@_)">
                  <c:v>13.382628830462775</c:v>
                </c:pt>
                <c:pt idx="29" formatCode="_(* #,##0.0000_);_(* \(#,##0.0000\);_(* &quot;-&quot;??_);_(@_)">
                  <c:v>10.107574919603259</c:v>
                </c:pt>
                <c:pt idx="37" formatCode="_(* #,##0.0000_);_(* \(#,##0.0000\);_(* &quot;-&quot;??_);_(@_)">
                  <c:v>11.780899979238789</c:v>
                </c:pt>
                <c:pt idx="38" formatCode="_(* #,##0.0000_);_(* \(#,##0.0000\);_(* &quot;-&quot;??_);_(@_)">
                  <c:v>9.9999999999999893</c:v>
                </c:pt>
                <c:pt idx="61" formatCode="_(* #,##0.0000_);_(* \(#,##0.0000\);_(* &quot;-&quot;??_);_(@_)">
                  <c:v>16.877637130801688</c:v>
                </c:pt>
                <c:pt idx="68" formatCode="_(* #,##0.0000_);_(* \(#,##0.0000\);_(* &quot;-&quot;??_);_(@_)">
                  <c:v>10.704225352112678</c:v>
                </c:pt>
              </c:numCache>
            </c:numRef>
          </c:yVal>
          <c:smooth val="0"/>
        </c:ser>
        <c:ser>
          <c:idx val="5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(All)'!$G$7:$G$107</c:f>
              <c:numCache>
                <c:formatCode>0.0000</c:formatCode>
                <c:ptCount val="101"/>
                <c:pt idx="27" formatCode="_(* #,##0.0000_);_(* \(#,##0.0000\);_(* &quot;-&quot;??_);_(@_)">
                  <c:v>13.382628830462775</c:v>
                </c:pt>
                <c:pt idx="29" formatCode="_(* #,##0.0000_);_(* \(#,##0.0000\);_(* &quot;-&quot;??_);_(@_)">
                  <c:v>10.107574919603259</c:v>
                </c:pt>
                <c:pt idx="37" formatCode="_(* #,##0.0000_);_(* \(#,##0.0000\);_(* &quot;-&quot;??_);_(@_)">
                  <c:v>11.780899979238789</c:v>
                </c:pt>
                <c:pt idx="38" formatCode="_(* #,##0.0000_);_(* \(#,##0.0000\);_(* &quot;-&quot;??_);_(@_)">
                  <c:v>9.9999999999999893</c:v>
                </c:pt>
                <c:pt idx="61" formatCode="_(* #,##0.0000_);_(* \(#,##0.0000\);_(* &quot;-&quot;??_);_(@_)">
                  <c:v>16.877637130801688</c:v>
                </c:pt>
                <c:pt idx="68" formatCode="_(* #,##0.0000_);_(* \(#,##0.0000\);_(* &quot;-&quot;??_);_(@_)">
                  <c:v>10.704225352112678</c:v>
                </c:pt>
              </c:numCache>
            </c:numRef>
          </c:yVal>
          <c:smooth val="0"/>
        </c:ser>
        <c:ser>
          <c:idx val="6"/>
          <c:order val="2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(All)'!$G$7:$G$107</c:f>
              <c:numCache>
                <c:formatCode>0.0000</c:formatCode>
                <c:ptCount val="101"/>
                <c:pt idx="27" formatCode="_(* #,##0.0000_);_(* \(#,##0.0000\);_(* &quot;-&quot;??_);_(@_)">
                  <c:v>13.382628830462775</c:v>
                </c:pt>
                <c:pt idx="29" formatCode="_(* #,##0.0000_);_(* \(#,##0.0000\);_(* &quot;-&quot;??_);_(@_)">
                  <c:v>10.107574919603259</c:v>
                </c:pt>
                <c:pt idx="37" formatCode="_(* #,##0.0000_);_(* \(#,##0.0000\);_(* &quot;-&quot;??_);_(@_)">
                  <c:v>11.780899979238789</c:v>
                </c:pt>
                <c:pt idx="38" formatCode="_(* #,##0.0000_);_(* \(#,##0.0000\);_(* &quot;-&quot;??_);_(@_)">
                  <c:v>9.9999999999999893</c:v>
                </c:pt>
                <c:pt idx="61" formatCode="_(* #,##0.0000_);_(* \(#,##0.0000\);_(* &quot;-&quot;??_);_(@_)">
                  <c:v>16.877637130801688</c:v>
                </c:pt>
                <c:pt idx="68" formatCode="_(* #,##0.0000_);_(* \(#,##0.0000\);_(* &quot;-&quot;??_);_(@_)">
                  <c:v>10.704225352112678</c:v>
                </c:pt>
              </c:numCache>
            </c:numRef>
          </c:yVal>
          <c:smooth val="0"/>
        </c:ser>
        <c:ser>
          <c:idx val="7"/>
          <c:order val="3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(All)'!$G$7:$G$107</c:f>
              <c:numCache>
                <c:formatCode>0.0000</c:formatCode>
                <c:ptCount val="101"/>
                <c:pt idx="27" formatCode="_(* #,##0.0000_);_(* \(#,##0.0000\);_(* &quot;-&quot;??_);_(@_)">
                  <c:v>13.382628830462775</c:v>
                </c:pt>
                <c:pt idx="29" formatCode="_(* #,##0.0000_);_(* \(#,##0.0000\);_(* &quot;-&quot;??_);_(@_)">
                  <c:v>10.107574919603259</c:v>
                </c:pt>
                <c:pt idx="37" formatCode="_(* #,##0.0000_);_(* \(#,##0.0000\);_(* &quot;-&quot;??_);_(@_)">
                  <c:v>11.780899979238789</c:v>
                </c:pt>
                <c:pt idx="38" formatCode="_(* #,##0.0000_);_(* \(#,##0.0000\);_(* &quot;-&quot;??_);_(@_)">
                  <c:v>9.9999999999999893</c:v>
                </c:pt>
                <c:pt idx="61" formatCode="_(* #,##0.0000_);_(* \(#,##0.0000\);_(* &quot;-&quot;??_);_(@_)">
                  <c:v>16.877637130801688</c:v>
                </c:pt>
                <c:pt idx="68" formatCode="_(* #,##0.0000_);_(* \(#,##0.0000\);_(* &quot;-&quot;??_);_(@_)">
                  <c:v>10.704225352112678</c:v>
                </c:pt>
              </c:numCache>
            </c:numRef>
          </c:yVal>
          <c:smooth val="0"/>
        </c:ser>
        <c:ser>
          <c:idx val="2"/>
          <c:order val="4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(All)'!$G$7:$G$107</c:f>
              <c:numCache>
                <c:formatCode>0.0000</c:formatCode>
                <c:ptCount val="101"/>
                <c:pt idx="27" formatCode="_(* #,##0.0000_);_(* \(#,##0.0000\);_(* &quot;-&quot;??_);_(@_)">
                  <c:v>13.382628830462775</c:v>
                </c:pt>
                <c:pt idx="29" formatCode="_(* #,##0.0000_);_(* \(#,##0.0000\);_(* &quot;-&quot;??_);_(@_)">
                  <c:v>10.107574919603259</c:v>
                </c:pt>
                <c:pt idx="37" formatCode="_(* #,##0.0000_);_(* \(#,##0.0000\);_(* &quot;-&quot;??_);_(@_)">
                  <c:v>11.780899979238789</c:v>
                </c:pt>
                <c:pt idx="38" formatCode="_(* #,##0.0000_);_(* \(#,##0.0000\);_(* &quot;-&quot;??_);_(@_)">
                  <c:v>9.9999999999999893</c:v>
                </c:pt>
                <c:pt idx="61" formatCode="_(* #,##0.0000_);_(* \(#,##0.0000\);_(* &quot;-&quot;??_);_(@_)">
                  <c:v>16.877637130801688</c:v>
                </c:pt>
                <c:pt idx="68" formatCode="_(* #,##0.0000_);_(* \(#,##0.0000\);_(* &quot;-&quot;??_);_(@_)">
                  <c:v>10.704225352112678</c:v>
                </c:pt>
              </c:numCache>
            </c:numRef>
          </c:yVal>
          <c:smooth val="0"/>
        </c:ser>
        <c:ser>
          <c:idx val="3"/>
          <c:order val="5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(All)'!$G$7:$G$107</c:f>
              <c:numCache>
                <c:formatCode>0.0000</c:formatCode>
                <c:ptCount val="101"/>
                <c:pt idx="27" formatCode="_(* #,##0.0000_);_(* \(#,##0.0000\);_(* &quot;-&quot;??_);_(@_)">
                  <c:v>13.382628830462775</c:v>
                </c:pt>
                <c:pt idx="29" formatCode="_(* #,##0.0000_);_(* \(#,##0.0000\);_(* &quot;-&quot;??_);_(@_)">
                  <c:v>10.107574919603259</c:v>
                </c:pt>
                <c:pt idx="37" formatCode="_(* #,##0.0000_);_(* \(#,##0.0000\);_(* &quot;-&quot;??_);_(@_)">
                  <c:v>11.780899979238789</c:v>
                </c:pt>
                <c:pt idx="38" formatCode="_(* #,##0.0000_);_(* \(#,##0.0000\);_(* &quot;-&quot;??_);_(@_)">
                  <c:v>9.9999999999999893</c:v>
                </c:pt>
                <c:pt idx="61" formatCode="_(* #,##0.0000_);_(* \(#,##0.0000\);_(* &quot;-&quot;??_);_(@_)">
                  <c:v>16.877637130801688</c:v>
                </c:pt>
                <c:pt idx="68" formatCode="_(* #,##0.0000_);_(* \(#,##0.0000\);_(* &quot;-&quot;??_);_(@_)">
                  <c:v>10.704225352112678</c:v>
                </c:pt>
              </c:numCache>
            </c:numRef>
          </c:yVal>
          <c:smooth val="0"/>
        </c:ser>
        <c:ser>
          <c:idx val="1"/>
          <c:order val="6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(All)'!$G$7:$G$107</c:f>
              <c:numCache>
                <c:formatCode>0.0000</c:formatCode>
                <c:ptCount val="101"/>
                <c:pt idx="27" formatCode="_(* #,##0.0000_);_(* \(#,##0.0000\);_(* &quot;-&quot;??_);_(@_)">
                  <c:v>13.382628830462775</c:v>
                </c:pt>
                <c:pt idx="29" formatCode="_(* #,##0.0000_);_(* \(#,##0.0000\);_(* &quot;-&quot;??_);_(@_)">
                  <c:v>10.107574919603259</c:v>
                </c:pt>
                <c:pt idx="37" formatCode="_(* #,##0.0000_);_(* \(#,##0.0000\);_(* &quot;-&quot;??_);_(@_)">
                  <c:v>11.780899979238789</c:v>
                </c:pt>
                <c:pt idx="38" formatCode="_(* #,##0.0000_);_(* \(#,##0.0000\);_(* &quot;-&quot;??_);_(@_)">
                  <c:v>9.9999999999999893</c:v>
                </c:pt>
                <c:pt idx="61" formatCode="_(* #,##0.0000_);_(* \(#,##0.0000\);_(* &quot;-&quot;??_);_(@_)">
                  <c:v>16.877637130801688</c:v>
                </c:pt>
                <c:pt idx="68" formatCode="_(* #,##0.0000_);_(* \(#,##0.0000\);_(* &quot;-&quot;??_);_(@_)">
                  <c:v>10.704225352112678</c:v>
                </c:pt>
              </c:numCache>
            </c:numRef>
          </c:yVal>
          <c:smooth val="0"/>
        </c:ser>
        <c:ser>
          <c:idx val="0"/>
          <c:order val="7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(All)'!$G$7:$G$107</c:f>
              <c:numCache>
                <c:formatCode>0.0000</c:formatCode>
                <c:ptCount val="101"/>
                <c:pt idx="27" formatCode="_(* #,##0.0000_);_(* \(#,##0.0000\);_(* &quot;-&quot;??_);_(@_)">
                  <c:v>13.382628830462775</c:v>
                </c:pt>
                <c:pt idx="29" formatCode="_(* #,##0.0000_);_(* \(#,##0.0000\);_(* &quot;-&quot;??_);_(@_)">
                  <c:v>10.107574919603259</c:v>
                </c:pt>
                <c:pt idx="37" formatCode="_(* #,##0.0000_);_(* \(#,##0.0000\);_(* &quot;-&quot;??_);_(@_)">
                  <c:v>11.780899979238789</c:v>
                </c:pt>
                <c:pt idx="38" formatCode="_(* #,##0.0000_);_(* \(#,##0.0000\);_(* &quot;-&quot;??_);_(@_)">
                  <c:v>9.9999999999999893</c:v>
                </c:pt>
                <c:pt idx="61" formatCode="_(* #,##0.0000_);_(* \(#,##0.0000\);_(* &quot;-&quot;??_);_(@_)">
                  <c:v>16.877637130801688</c:v>
                </c:pt>
                <c:pt idx="68" formatCode="_(* #,##0.0000_);_(* \(#,##0.0000\);_(* &quot;-&quot;??_);_(@_)">
                  <c:v>10.704225352112678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91936"/>
        <c:axId val="622193056"/>
      </c:scatterChart>
      <c:valAx>
        <c:axId val="6221919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93056"/>
        <c:crosses val="autoZero"/>
        <c:crossBetween val="midCat"/>
        <c:majorUnit val="5"/>
      </c:valAx>
      <c:valAx>
        <c:axId val="62219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919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Istanbul (Rumeli),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(All)'!$AC$7:$AC$107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(All)'!$AC$7:$AC$107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01216"/>
        <c:axId val="622100656"/>
      </c:scatterChart>
      <c:valAx>
        <c:axId val="6221012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00656"/>
        <c:crosses val="autoZero"/>
        <c:crossBetween val="midCat"/>
        <c:majorUnit val="5"/>
      </c:valAx>
      <c:valAx>
        <c:axId val="62210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012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Istanbul (Anatolia),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(All)'!$AF$7:$AF$107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(All)'!$AF$7:$AF$107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97856"/>
        <c:axId val="622097296"/>
      </c:scatterChart>
      <c:valAx>
        <c:axId val="6220978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97296"/>
        <c:crosses val="autoZero"/>
        <c:crossBetween val="midCat"/>
        <c:majorUnit val="5"/>
      </c:valAx>
      <c:valAx>
        <c:axId val="62209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978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(Rumeli), Exports,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(All)'!$AD$7:$AD$107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(All)'!$AD$7:$AD$107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94496"/>
        <c:axId val="622093936"/>
      </c:scatterChart>
      <c:valAx>
        <c:axId val="6220944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93936"/>
        <c:crosses val="autoZero"/>
        <c:crossBetween val="midCat"/>
        <c:majorUnit val="5"/>
      </c:valAx>
      <c:valAx>
        <c:axId val="62209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944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(Rumeli), Bazaar (Local),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(All)'!$AE$7:$AE$107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(All)'!$AE$7:$AE$107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91136"/>
        <c:axId val="622090576"/>
      </c:scatterChart>
      <c:valAx>
        <c:axId val="6220911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90576"/>
        <c:crosses val="autoZero"/>
        <c:crossBetween val="midCat"/>
        <c:majorUnit val="5"/>
      </c:valAx>
      <c:valAx>
        <c:axId val="62209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911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(Anatolia),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(All)'!$AG$7:$AG$107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(All)'!$AG$7:$AG$107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87776"/>
        <c:axId val="622087216"/>
      </c:scatterChart>
      <c:valAx>
        <c:axId val="6220877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87216"/>
        <c:crosses val="autoZero"/>
        <c:crossBetween val="midCat"/>
        <c:majorUnit val="5"/>
      </c:valAx>
      <c:valAx>
        <c:axId val="62208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877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(Anatolia),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(All)'!$AH$7:$AH$107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(All)'!$AH$7:$AH$107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83856"/>
        <c:axId val="622083296"/>
      </c:scatterChart>
      <c:valAx>
        <c:axId val="6220838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83296"/>
        <c:crosses val="autoZero"/>
        <c:crossBetween val="midCat"/>
        <c:majorUnit val="5"/>
      </c:valAx>
      <c:valAx>
        <c:axId val="62208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838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(All)'!$AM$7:$AM$107</c:f>
              <c:numCache>
                <c:formatCode>0.0000</c:formatCode>
                <c:ptCount val="101"/>
                <c:pt idx="71">
                  <c:v>3.4770514603616132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(All)'!$AM$7:$AM$107</c:f>
              <c:numCache>
                <c:formatCode>0.0000</c:formatCode>
                <c:ptCount val="101"/>
                <c:pt idx="71">
                  <c:v>3.4770514603616132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80496"/>
        <c:axId val="622079936"/>
      </c:scatterChart>
      <c:valAx>
        <c:axId val="6220804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79936"/>
        <c:crosses val="autoZero"/>
        <c:crossBetween val="midCat"/>
        <c:majorUnit val="5"/>
      </c:valAx>
      <c:valAx>
        <c:axId val="62207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804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(All)'!$AL$7:$AL$107</c:f>
              <c:numCache>
                <c:formatCode>0.0000</c:formatCode>
                <c:ptCount val="101"/>
                <c:pt idx="70">
                  <c:v>10.015331440338924</c:v>
                </c:pt>
                <c:pt idx="71">
                  <c:v>10.585101642720639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(All)'!$AL$7:$AL$107</c:f>
              <c:numCache>
                <c:formatCode>0.0000</c:formatCode>
                <c:ptCount val="101"/>
                <c:pt idx="70">
                  <c:v>10.015331440338924</c:v>
                </c:pt>
                <c:pt idx="71">
                  <c:v>10.585101642720639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77696"/>
        <c:axId val="622077136"/>
      </c:scatterChart>
      <c:valAx>
        <c:axId val="6220776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77136"/>
        <c:crosses val="autoZero"/>
        <c:crossBetween val="midCat"/>
        <c:majorUnit val="5"/>
      </c:valAx>
      <c:valAx>
        <c:axId val="62207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776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(All)'!$AN$7:$AN$107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(All)'!$AN$7:$AN$107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74336"/>
        <c:axId val="622073776"/>
      </c:scatterChart>
      <c:valAx>
        <c:axId val="6220743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73776"/>
        <c:crosses val="autoZero"/>
        <c:crossBetween val="midCat"/>
        <c:majorUnit val="5"/>
      </c:valAx>
      <c:valAx>
        <c:axId val="62207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743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(All)'!$AO$7:$AO$107</c:f>
              <c:numCache>
                <c:formatCode>0.0000</c:formatCode>
                <c:ptCount val="101"/>
                <c:pt idx="57">
                  <c:v>15</c:v>
                </c:pt>
                <c:pt idx="67">
                  <c:v>14.251401120896718</c:v>
                </c:pt>
                <c:pt idx="70">
                  <c:v>9.0243902439024382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(All)'!$AO$7:$AO$107</c:f>
              <c:numCache>
                <c:formatCode>0.0000</c:formatCode>
                <c:ptCount val="101"/>
                <c:pt idx="57">
                  <c:v>15</c:v>
                </c:pt>
                <c:pt idx="67">
                  <c:v>14.251401120896718</c:v>
                </c:pt>
                <c:pt idx="70">
                  <c:v>9.0243902439024382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70976"/>
        <c:axId val="622070416"/>
      </c:scatterChart>
      <c:valAx>
        <c:axId val="6220709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70416"/>
        <c:crosses val="autoZero"/>
        <c:crossBetween val="midCat"/>
        <c:majorUnit val="5"/>
      </c:valAx>
      <c:valAx>
        <c:axId val="62207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709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(All)'!$H$7:$H$107</c:f>
              <c:numCache>
                <c:formatCode>0.0000</c:formatCode>
                <c:ptCount val="101"/>
                <c:pt idx="26" formatCode="_(* #,##0.0000_);_(* \(#,##0.0000\);_(* &quot;-&quot;??_);_(@_)">
                  <c:v>11.97970458711152</c:v>
                </c:pt>
                <c:pt idx="27" formatCode="_(* #,##0.0000_);_(* \(#,##0.0000\);_(* &quot;-&quot;??_);_(@_)">
                  <c:v>13.468493572134339</c:v>
                </c:pt>
                <c:pt idx="28" formatCode="_(* #,##0.0000_);_(* \(#,##0.0000\);_(* &quot;-&quot;??_);_(@_)">
                  <c:v>9.6022158213044442</c:v>
                </c:pt>
                <c:pt idx="29" formatCode="_(* #,##0.0000_);_(* \(#,##0.0000\);_(* &quot;-&quot;??_);_(@_)">
                  <c:v>8.2482694827005307</c:v>
                </c:pt>
                <c:pt idx="30" formatCode="_(* #,##0.0000_);_(* \(#,##0.0000\);_(* &quot;-&quot;??_);_(@_)">
                  <c:v>13.044251795681859</c:v>
                </c:pt>
                <c:pt idx="31" formatCode="_(* #,##0.0000_);_(* \(#,##0.0000\);_(* &quot;-&quot;??_);_(@_)">
                  <c:v>18.452151615219165</c:v>
                </c:pt>
                <c:pt idx="32" formatCode="_(* #,##0.0000_);_(* \(#,##0.0000\);_(* &quot;-&quot;??_);_(@_)">
                  <c:v>7.2228855721393055</c:v>
                </c:pt>
                <c:pt idx="33" formatCode="_(* #,##0.0000_);_(* \(#,##0.0000\);_(* &quot;-&quot;??_);_(@_)">
                  <c:v>7.2611940298507456</c:v>
                </c:pt>
                <c:pt idx="34" formatCode="_(* #,##0.0000_);_(* \(#,##0.0000\);_(* &quot;-&quot;??_);_(@_)">
                  <c:v>7.1044776119403066</c:v>
                </c:pt>
                <c:pt idx="35" formatCode="_(* #,##0.0000_);_(* \(#,##0.0000\);_(* &quot;-&quot;??_);_(@_)">
                  <c:v>7.059393939393936</c:v>
                </c:pt>
                <c:pt idx="36" formatCode="_(* #,##0.0000_);_(* \(#,##0.0000\);_(* &quot;-&quot;??_);_(@_)">
                  <c:v>7.3535353535353476</c:v>
                </c:pt>
                <c:pt idx="37" formatCode="_(* #,##0.0000_);_(* \(#,##0.0000\);_(* &quot;-&quot;??_);_(@_)">
                  <c:v>8.1454545454545535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(All)'!$H$7:$H$107</c:f>
              <c:numCache>
                <c:formatCode>0.0000</c:formatCode>
                <c:ptCount val="101"/>
                <c:pt idx="26" formatCode="_(* #,##0.0000_);_(* \(#,##0.0000\);_(* &quot;-&quot;??_);_(@_)">
                  <c:v>11.97970458711152</c:v>
                </c:pt>
                <c:pt idx="27" formatCode="_(* #,##0.0000_);_(* \(#,##0.0000\);_(* &quot;-&quot;??_);_(@_)">
                  <c:v>13.468493572134339</c:v>
                </c:pt>
                <c:pt idx="28" formatCode="_(* #,##0.0000_);_(* \(#,##0.0000\);_(* &quot;-&quot;??_);_(@_)">
                  <c:v>9.6022158213044442</c:v>
                </c:pt>
                <c:pt idx="29" formatCode="_(* #,##0.0000_);_(* \(#,##0.0000\);_(* &quot;-&quot;??_);_(@_)">
                  <c:v>8.2482694827005307</c:v>
                </c:pt>
                <c:pt idx="30" formatCode="_(* #,##0.0000_);_(* \(#,##0.0000\);_(* &quot;-&quot;??_);_(@_)">
                  <c:v>13.044251795681859</c:v>
                </c:pt>
                <c:pt idx="31" formatCode="_(* #,##0.0000_);_(* \(#,##0.0000\);_(* &quot;-&quot;??_);_(@_)">
                  <c:v>18.452151615219165</c:v>
                </c:pt>
                <c:pt idx="32" formatCode="_(* #,##0.0000_);_(* \(#,##0.0000\);_(* &quot;-&quot;??_);_(@_)">
                  <c:v>7.2228855721393055</c:v>
                </c:pt>
                <c:pt idx="33" formatCode="_(* #,##0.0000_);_(* \(#,##0.0000\);_(* &quot;-&quot;??_);_(@_)">
                  <c:v>7.2611940298507456</c:v>
                </c:pt>
                <c:pt idx="34" formatCode="_(* #,##0.0000_);_(* \(#,##0.0000\);_(* &quot;-&quot;??_);_(@_)">
                  <c:v>7.1044776119403066</c:v>
                </c:pt>
                <c:pt idx="35" formatCode="_(* #,##0.0000_);_(* \(#,##0.0000\);_(* &quot;-&quot;??_);_(@_)">
                  <c:v>7.059393939393936</c:v>
                </c:pt>
                <c:pt idx="36" formatCode="_(* #,##0.0000_);_(* \(#,##0.0000\);_(* &quot;-&quot;??_);_(@_)">
                  <c:v>7.3535353535353476</c:v>
                </c:pt>
                <c:pt idx="37" formatCode="_(* #,##0.0000_);_(* \(#,##0.0000\);_(* &quot;-&quot;??_);_(@_)">
                  <c:v>8.1454545454545535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34256"/>
        <c:axId val="622186336"/>
      </c:scatterChart>
      <c:valAx>
        <c:axId val="6221342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86336"/>
        <c:crosses val="autoZero"/>
        <c:crossBetween val="midCat"/>
        <c:majorUnit val="5"/>
      </c:valAx>
      <c:valAx>
        <c:axId val="62218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342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(All)'!$AP$7:$AP$107</c:f>
              <c:numCache>
                <c:formatCode>0.0000</c:formatCode>
                <c:ptCount val="101"/>
                <c:pt idx="45">
                  <c:v>17.389285705705277</c:v>
                </c:pt>
                <c:pt idx="46">
                  <c:v>13.81818181818182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(All)'!$AP$7:$AP$107</c:f>
              <c:numCache>
                <c:formatCode>0.0000</c:formatCode>
                <c:ptCount val="101"/>
                <c:pt idx="45">
                  <c:v>17.389285705705277</c:v>
                </c:pt>
                <c:pt idx="46">
                  <c:v>13.81818181818182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67616"/>
        <c:axId val="622067056"/>
      </c:scatterChart>
      <c:valAx>
        <c:axId val="6220676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67056"/>
        <c:crosses val="autoZero"/>
        <c:crossBetween val="midCat"/>
        <c:majorUnit val="5"/>
      </c:valAx>
      <c:valAx>
        <c:axId val="62206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676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(All)'!$AQ$7:$AQ$107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(All)'!$AQ$7:$AQ$107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64256"/>
        <c:axId val="622063696"/>
      </c:scatterChart>
      <c:valAx>
        <c:axId val="6220642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63696"/>
        <c:crosses val="autoZero"/>
        <c:crossBetween val="midCat"/>
        <c:majorUnit val="5"/>
      </c:valAx>
      <c:valAx>
        <c:axId val="62206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642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Trebizond (Anatolia),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(All)'!$AR$7:$AR$107</c:f>
              <c:numCache>
                <c:formatCode>0.0000</c:formatCode>
                <c:ptCount val="101"/>
                <c:pt idx="43">
                  <c:v>15</c:v>
                </c:pt>
                <c:pt idx="44">
                  <c:v>13</c:v>
                </c:pt>
                <c:pt idx="45">
                  <c:v>11.493670886075948</c:v>
                </c:pt>
                <c:pt idx="46">
                  <c:v>13.280106453759149</c:v>
                </c:pt>
                <c:pt idx="47">
                  <c:v>11.994261119081779</c:v>
                </c:pt>
                <c:pt idx="48">
                  <c:v>12.009569377990431</c:v>
                </c:pt>
                <c:pt idx="49">
                  <c:v>12.871287128712872</c:v>
                </c:pt>
                <c:pt idx="50">
                  <c:v>12.79954571266326</c:v>
                </c:pt>
                <c:pt idx="51">
                  <c:v>10.782208588957056</c:v>
                </c:pt>
                <c:pt idx="52">
                  <c:v>12</c:v>
                </c:pt>
                <c:pt idx="53">
                  <c:v>12.006717044500419</c:v>
                </c:pt>
                <c:pt idx="54">
                  <c:v>11.994996873045654</c:v>
                </c:pt>
                <c:pt idx="55">
                  <c:v>12.004479283314671</c:v>
                </c:pt>
                <c:pt idx="56">
                  <c:v>12.005885237861698</c:v>
                </c:pt>
                <c:pt idx="57">
                  <c:v>13.99390243902439</c:v>
                </c:pt>
                <c:pt idx="58">
                  <c:v>13.969335604770016</c:v>
                </c:pt>
                <c:pt idx="59">
                  <c:v>13.965822038892162</c:v>
                </c:pt>
                <c:pt idx="60">
                  <c:v>11.843393148450245</c:v>
                </c:pt>
                <c:pt idx="61">
                  <c:v>9.9640933572710964</c:v>
                </c:pt>
                <c:pt idx="62">
                  <c:v>9.9933199732798919</c:v>
                </c:pt>
                <c:pt idx="63">
                  <c:v>9.9903753609239647</c:v>
                </c:pt>
                <c:pt idx="64">
                  <c:v>9.9970700263697623</c:v>
                </c:pt>
                <c:pt idx="65">
                  <c:v>10.016518004625041</c:v>
                </c:pt>
                <c:pt idx="66">
                  <c:v>10</c:v>
                </c:pt>
                <c:pt idx="67">
                  <c:v>10.397753860552177</c:v>
                </c:pt>
                <c:pt idx="68">
                  <c:v>11.541593160537387</c:v>
                </c:pt>
                <c:pt idx="69">
                  <c:v>11.135623869801085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(All)'!$AR$7:$AR$107</c:f>
              <c:numCache>
                <c:formatCode>0.0000</c:formatCode>
                <c:ptCount val="101"/>
                <c:pt idx="43">
                  <c:v>15</c:v>
                </c:pt>
                <c:pt idx="44">
                  <c:v>13</c:v>
                </c:pt>
                <c:pt idx="45">
                  <c:v>11.493670886075948</c:v>
                </c:pt>
                <c:pt idx="46">
                  <c:v>13.280106453759149</c:v>
                </c:pt>
                <c:pt idx="47">
                  <c:v>11.994261119081779</c:v>
                </c:pt>
                <c:pt idx="48">
                  <c:v>12.009569377990431</c:v>
                </c:pt>
                <c:pt idx="49">
                  <c:v>12.871287128712872</c:v>
                </c:pt>
                <c:pt idx="50">
                  <c:v>12.79954571266326</c:v>
                </c:pt>
                <c:pt idx="51">
                  <c:v>10.782208588957056</c:v>
                </c:pt>
                <c:pt idx="52">
                  <c:v>12</c:v>
                </c:pt>
                <c:pt idx="53">
                  <c:v>12.006717044500419</c:v>
                </c:pt>
                <c:pt idx="54">
                  <c:v>11.994996873045654</c:v>
                </c:pt>
                <c:pt idx="55">
                  <c:v>12.004479283314671</c:v>
                </c:pt>
                <c:pt idx="56">
                  <c:v>12.005885237861698</c:v>
                </c:pt>
                <c:pt idx="57">
                  <c:v>13.99390243902439</c:v>
                </c:pt>
                <c:pt idx="58">
                  <c:v>13.969335604770016</c:v>
                </c:pt>
                <c:pt idx="59">
                  <c:v>13.965822038892162</c:v>
                </c:pt>
                <c:pt idx="60">
                  <c:v>11.843393148450245</c:v>
                </c:pt>
                <c:pt idx="61">
                  <c:v>9.9640933572710964</c:v>
                </c:pt>
                <c:pt idx="62">
                  <c:v>9.9933199732798919</c:v>
                </c:pt>
                <c:pt idx="63">
                  <c:v>9.9903753609239647</c:v>
                </c:pt>
                <c:pt idx="64">
                  <c:v>9.9970700263697623</c:v>
                </c:pt>
                <c:pt idx="65">
                  <c:v>10.016518004625041</c:v>
                </c:pt>
                <c:pt idx="66">
                  <c:v>10</c:v>
                </c:pt>
                <c:pt idx="67">
                  <c:v>10.397753860552177</c:v>
                </c:pt>
                <c:pt idx="68">
                  <c:v>11.541593160537387</c:v>
                </c:pt>
                <c:pt idx="69">
                  <c:v>11.135623869801085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80752"/>
        <c:axId val="747704592"/>
      </c:scatterChart>
      <c:valAx>
        <c:axId val="7477807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04592"/>
        <c:crosses val="autoZero"/>
        <c:crossBetween val="midCat"/>
        <c:majorUnit val="5"/>
      </c:valAx>
      <c:valAx>
        <c:axId val="74770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807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(Anatolia),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(All)'!$AS$7:$AS$107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(All)'!$AT$7:$AT$107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95312"/>
        <c:axId val="747795872"/>
      </c:scatterChart>
      <c:valAx>
        <c:axId val="7477953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95872"/>
        <c:crosses val="autoZero"/>
        <c:crossBetween val="midCat"/>
        <c:majorUnit val="5"/>
      </c:valAx>
      <c:valAx>
        <c:axId val="74779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953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(Anatolia),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(All)'!$AT$7:$AT$107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(All)'!$AT$7:$AT$107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86352"/>
        <c:axId val="747786912"/>
      </c:scatterChart>
      <c:valAx>
        <c:axId val="7477863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86912"/>
        <c:crosses val="autoZero"/>
        <c:crossBetween val="midCat"/>
        <c:majorUnit val="5"/>
      </c:valAx>
      <c:valAx>
        <c:axId val="74778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863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Imports,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(All)'!$AU$7:$AU$107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(All)'!$AU$7:$AU$107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82992"/>
        <c:axId val="747783552"/>
      </c:scatterChart>
      <c:valAx>
        <c:axId val="7477829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83552"/>
        <c:crosses val="autoZero"/>
        <c:crossBetween val="midCat"/>
        <c:majorUnit val="5"/>
      </c:valAx>
      <c:valAx>
        <c:axId val="74778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829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(All)'!$AV$7:$AV$107</c:f>
              <c:numCache>
                <c:formatCode>0.0000</c:formatCode>
                <c:ptCount val="101"/>
                <c:pt idx="43">
                  <c:v>40</c:v>
                </c:pt>
                <c:pt idx="44">
                  <c:v>40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(All)'!$AV$7:$AV$107</c:f>
              <c:numCache>
                <c:formatCode>0.0000</c:formatCode>
                <c:ptCount val="101"/>
                <c:pt idx="43">
                  <c:v>40</c:v>
                </c:pt>
                <c:pt idx="44">
                  <c:v>40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11312"/>
        <c:axId val="747781312"/>
      </c:scatterChart>
      <c:valAx>
        <c:axId val="7477113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81312"/>
        <c:crosses val="autoZero"/>
        <c:crossBetween val="midCat"/>
        <c:majorUnit val="5"/>
      </c:valAx>
      <c:valAx>
        <c:axId val="74778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113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(All)'!$AW$7:$AW$107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(All)'!$AW$7:$AW$107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79072"/>
        <c:axId val="747777392"/>
      </c:scatterChart>
      <c:valAx>
        <c:axId val="7477790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77392"/>
        <c:crosses val="autoZero"/>
        <c:crossBetween val="midCat"/>
        <c:majorUnit val="5"/>
      </c:valAx>
      <c:valAx>
        <c:axId val="74777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790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(All)'!$AX$7:$AX$107</c:f>
              <c:numCache>
                <c:formatCode>0.0000</c:formatCode>
                <c:ptCount val="101"/>
                <c:pt idx="42">
                  <c:v>20</c:v>
                </c:pt>
                <c:pt idx="43">
                  <c:v>20.007376263185073</c:v>
                </c:pt>
                <c:pt idx="44">
                  <c:v>23.196855635786346</c:v>
                </c:pt>
                <c:pt idx="45">
                  <c:v>20.000154618054751</c:v>
                </c:pt>
                <c:pt idx="46">
                  <c:v>18.000000000000004</c:v>
                </c:pt>
                <c:pt idx="48">
                  <c:v>16</c:v>
                </c:pt>
                <c:pt idx="50">
                  <c:v>15.999940062784233</c:v>
                </c:pt>
                <c:pt idx="51">
                  <c:v>16</c:v>
                </c:pt>
                <c:pt idx="52">
                  <c:v>13.333333333333332</c:v>
                </c:pt>
                <c:pt idx="54">
                  <c:v>15.999858639761101</c:v>
                </c:pt>
                <c:pt idx="65">
                  <c:v>7.7540084388185653</c:v>
                </c:pt>
                <c:pt idx="66">
                  <c:v>10.599746789654549</c:v>
                </c:pt>
                <c:pt idx="67">
                  <c:v>11.286415042921378</c:v>
                </c:pt>
                <c:pt idx="68">
                  <c:v>12.933288500336248</c:v>
                </c:pt>
                <c:pt idx="70">
                  <c:v>12.380202179335697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(All)'!$AX$7:$AX$107</c:f>
              <c:numCache>
                <c:formatCode>0.0000</c:formatCode>
                <c:ptCount val="101"/>
                <c:pt idx="42">
                  <c:v>20</c:v>
                </c:pt>
                <c:pt idx="43">
                  <c:v>20.007376263185073</c:v>
                </c:pt>
                <c:pt idx="44">
                  <c:v>23.196855635786346</c:v>
                </c:pt>
                <c:pt idx="45">
                  <c:v>20.000154618054751</c:v>
                </c:pt>
                <c:pt idx="46">
                  <c:v>18.000000000000004</c:v>
                </c:pt>
                <c:pt idx="48">
                  <c:v>16</c:v>
                </c:pt>
                <c:pt idx="50">
                  <c:v>15.999940062784233</c:v>
                </c:pt>
                <c:pt idx="51">
                  <c:v>16</c:v>
                </c:pt>
                <c:pt idx="52">
                  <c:v>13.333333333333332</c:v>
                </c:pt>
                <c:pt idx="54">
                  <c:v>15.999858639761101</c:v>
                </c:pt>
                <c:pt idx="65">
                  <c:v>7.7540084388185653</c:v>
                </c:pt>
                <c:pt idx="66">
                  <c:v>10.599746789654549</c:v>
                </c:pt>
                <c:pt idx="67">
                  <c:v>11.286415042921378</c:v>
                </c:pt>
                <c:pt idx="68">
                  <c:v>12.933288500336248</c:v>
                </c:pt>
                <c:pt idx="70">
                  <c:v>12.380202179335697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75712"/>
        <c:axId val="747774032"/>
      </c:scatterChart>
      <c:valAx>
        <c:axId val="7477757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74032"/>
        <c:crosses val="autoZero"/>
        <c:crossBetween val="midCat"/>
        <c:majorUnit val="5"/>
      </c:valAx>
      <c:valAx>
        <c:axId val="74777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757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(All)'!$BB$7:$BB$107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(All)'!$BB$7:$BB$107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72352"/>
        <c:axId val="747770672"/>
      </c:scatterChart>
      <c:valAx>
        <c:axId val="7477723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70672"/>
        <c:crosses val="autoZero"/>
        <c:crossBetween val="midCat"/>
        <c:majorUnit val="5"/>
      </c:valAx>
      <c:valAx>
        <c:axId val="74777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723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Basrah,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(All)'!$J$7:$J$107</c:f>
              <c:numCache>
                <c:formatCode>0.0000</c:formatCode>
                <c:ptCount val="101"/>
                <c:pt idx="49">
                  <c:v>4.3234023823278624</c:v>
                </c:pt>
                <c:pt idx="50">
                  <c:v>5.0321235483792677</c:v>
                </c:pt>
                <c:pt idx="58">
                  <c:v>3.9195402298850559</c:v>
                </c:pt>
                <c:pt idx="59">
                  <c:v>3.6665871603398017</c:v>
                </c:pt>
                <c:pt idx="60">
                  <c:v>3.6665122194071165</c:v>
                </c:pt>
                <c:pt idx="61">
                  <c:v>3.9999468833824636</c:v>
                </c:pt>
                <c:pt idx="62">
                  <c:v>3.9998394927972321</c:v>
                </c:pt>
                <c:pt idx="63">
                  <c:v>4.0000815843684414</c:v>
                </c:pt>
                <c:pt idx="64">
                  <c:v>4.3334607380982622</c:v>
                </c:pt>
                <c:pt idx="65">
                  <c:v>4.1687041564792064</c:v>
                </c:pt>
                <c:pt idx="66">
                  <c:v>4.2222468016074979</c:v>
                </c:pt>
                <c:pt idx="67">
                  <c:v>6.2766989019052861</c:v>
                </c:pt>
                <c:pt idx="68">
                  <c:v>6.6665030313443525</c:v>
                </c:pt>
                <c:pt idx="69">
                  <c:v>6.666666666666675</c:v>
                </c:pt>
                <c:pt idx="70">
                  <c:v>6.6669315638203486</c:v>
                </c:pt>
                <c:pt idx="71">
                  <c:v>6.6664771596691299</c:v>
                </c:pt>
                <c:pt idx="72">
                  <c:v>7.3337069638127907</c:v>
                </c:pt>
                <c:pt idx="73">
                  <c:v>7.9750778816199457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(All)'!$J$7:$J$107</c:f>
              <c:numCache>
                <c:formatCode>0.0000</c:formatCode>
                <c:ptCount val="101"/>
                <c:pt idx="49">
                  <c:v>4.3234023823278624</c:v>
                </c:pt>
                <c:pt idx="50">
                  <c:v>5.0321235483792677</c:v>
                </c:pt>
                <c:pt idx="58">
                  <c:v>3.9195402298850559</c:v>
                </c:pt>
                <c:pt idx="59">
                  <c:v>3.6665871603398017</c:v>
                </c:pt>
                <c:pt idx="60">
                  <c:v>3.6665122194071165</c:v>
                </c:pt>
                <c:pt idx="61">
                  <c:v>3.9999468833824636</c:v>
                </c:pt>
                <c:pt idx="62">
                  <c:v>3.9998394927972321</c:v>
                </c:pt>
                <c:pt idx="63">
                  <c:v>4.0000815843684414</c:v>
                </c:pt>
                <c:pt idx="64">
                  <c:v>4.3334607380982622</c:v>
                </c:pt>
                <c:pt idx="65">
                  <c:v>4.1687041564792064</c:v>
                </c:pt>
                <c:pt idx="66">
                  <c:v>4.2222468016074979</c:v>
                </c:pt>
                <c:pt idx="67">
                  <c:v>6.2766989019052861</c:v>
                </c:pt>
                <c:pt idx="68">
                  <c:v>6.6665030313443525</c:v>
                </c:pt>
                <c:pt idx="69">
                  <c:v>6.666666666666675</c:v>
                </c:pt>
                <c:pt idx="70">
                  <c:v>6.6669315638203486</c:v>
                </c:pt>
                <c:pt idx="71">
                  <c:v>6.6664771596691299</c:v>
                </c:pt>
                <c:pt idx="72">
                  <c:v>7.3337069638127907</c:v>
                </c:pt>
                <c:pt idx="73">
                  <c:v>7.9750778816199457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83536"/>
        <c:axId val="622182976"/>
      </c:scatterChart>
      <c:valAx>
        <c:axId val="6221835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82976"/>
        <c:crosses val="autoZero"/>
        <c:crossBetween val="midCat"/>
        <c:majorUnit val="5"/>
      </c:valAx>
      <c:valAx>
        <c:axId val="62218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835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(All)'!$BF$7:$BF$107</c:f>
              <c:numCache>
                <c:formatCode>0.0000</c:formatCode>
                <c:ptCount val="101"/>
                <c:pt idx="52">
                  <c:v>12.685228881547891</c:v>
                </c:pt>
                <c:pt idx="53">
                  <c:v>14.664484451718483</c:v>
                </c:pt>
                <c:pt idx="55">
                  <c:v>13.784615384615376</c:v>
                </c:pt>
                <c:pt idx="56">
                  <c:v>11.942117288651939</c:v>
                </c:pt>
                <c:pt idx="58">
                  <c:v>16.410256410256419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(All)'!$BF$7:$BF$107</c:f>
              <c:numCache>
                <c:formatCode>0.0000</c:formatCode>
                <c:ptCount val="101"/>
                <c:pt idx="52">
                  <c:v>12.685228881547891</c:v>
                </c:pt>
                <c:pt idx="53">
                  <c:v>14.664484451718483</c:v>
                </c:pt>
                <c:pt idx="55">
                  <c:v>13.784615384615376</c:v>
                </c:pt>
                <c:pt idx="56">
                  <c:v>11.942117288651939</c:v>
                </c:pt>
                <c:pt idx="58">
                  <c:v>16.410256410256419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68992"/>
        <c:axId val="747767312"/>
      </c:scatterChart>
      <c:valAx>
        <c:axId val="7477689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67312"/>
        <c:crosses val="autoZero"/>
        <c:crossBetween val="midCat"/>
        <c:majorUnit val="5"/>
      </c:valAx>
      <c:valAx>
        <c:axId val="74776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689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(All)'!$AY$7:$AY$107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(All)'!$AY$7:$AY$107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65632"/>
        <c:axId val="747763952"/>
      </c:scatterChart>
      <c:valAx>
        <c:axId val="7477656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63952"/>
        <c:crosses val="autoZero"/>
        <c:crossBetween val="midCat"/>
        <c:majorUnit val="5"/>
      </c:valAx>
      <c:valAx>
        <c:axId val="74776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656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Ixmir,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(All)'!$AZ$7:$AZ$107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(All)'!$AZ$7:$AZ$107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62272"/>
        <c:axId val="747760592"/>
      </c:scatterChart>
      <c:valAx>
        <c:axId val="7477622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60592"/>
        <c:crosses val="autoZero"/>
        <c:crossBetween val="midCat"/>
        <c:majorUnit val="5"/>
      </c:valAx>
      <c:valAx>
        <c:axId val="74776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622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(All)'!$BA$7:$BA$107</c:f>
              <c:numCache>
                <c:formatCode>0.0000</c:formatCode>
                <c:ptCount val="101"/>
                <c:pt idx="38" formatCode="_(* #,##0.0000_);_(* \(#,##0.0000\);_(* &quot;-&quot;??_);_(@_)">
                  <c:v>17.678571428571427</c:v>
                </c:pt>
                <c:pt idx="39" formatCode="_(* #,##0.0000_);_(* \(#,##0.0000\);_(* &quot;-&quot;??_);_(@_)">
                  <c:v>21.698924731182796</c:v>
                </c:pt>
                <c:pt idx="40" formatCode="_(* #,##0.0000_);_(* \(#,##0.0000\);_(* &quot;-&quot;??_);_(@_)">
                  <c:v>22.571428571428573</c:v>
                </c:pt>
                <c:pt idx="41" formatCode="_(* #,##0.0000_);_(* \(#,##0.0000\);_(* &quot;-&quot;??_);_(@_)">
                  <c:v>22.671703296703299</c:v>
                </c:pt>
                <c:pt idx="42" formatCode="_(* #,##0.0000_);_(* \(#,##0.0000\);_(* &quot;-&quot;??_);_(@_)">
                  <c:v>20.405953991880917</c:v>
                </c:pt>
                <c:pt idx="43" formatCode="_(* #,##0.0000_);_(* \(#,##0.0000\);_(* &quot;-&quot;??_);_(@_)">
                  <c:v>18.319008264462813</c:v>
                </c:pt>
                <c:pt idx="47" formatCode="_(* #,##0.0000_);_(* \(#,##0.0000\);_(* &quot;-&quot;??_);_(@_)">
                  <c:v>22.542271562766867</c:v>
                </c:pt>
                <c:pt idx="48" formatCode="_(* #,##0.0000_);_(* \(#,##0.0000\);_(* &quot;-&quot;??_);_(@_)">
                  <c:v>22.567357512953368</c:v>
                </c:pt>
                <c:pt idx="49" formatCode="_(* #,##0.0000_);_(* \(#,##0.0000\);_(* &quot;-&quot;??_);_(@_)">
                  <c:v>19.961928934010153</c:v>
                </c:pt>
                <c:pt idx="50" formatCode="_(* #,##0.0000_);_(* \(#,##0.0000\);_(* &quot;-&quot;??_);_(@_)">
                  <c:v>15.807807807807794</c:v>
                </c:pt>
                <c:pt idx="51" formatCode="_(* #,##0.0000_);_(* \(#,##0.0000\);_(* &quot;-&quot;??_);_(@_)">
                  <c:v>13.159999999999988</c:v>
                </c:pt>
                <c:pt idx="52" formatCode="_(* #,##0.0000_);_(* \(#,##0.0000\);_(* &quot;-&quot;??_);_(@_)">
                  <c:v>10.49374999999999</c:v>
                </c:pt>
                <c:pt idx="53" formatCode="_(* #,##0.0000_);_(* \(#,##0.0000\);_(* &quot;-&quot;??_);_(@_)">
                  <c:v>10.446985446985437</c:v>
                </c:pt>
                <c:pt idx="54" formatCode="_(* #,##0.0000_);_(* \(#,##0.0000\);_(* &quot;-&quot;??_);_(@_)">
                  <c:v>10.411371237458184</c:v>
                </c:pt>
                <c:pt idx="55" formatCode="_(* #,##0.0000_);_(* \(#,##0.0000\);_(* &quot;-&quot;??_);_(@_)">
                  <c:v>10.404896421845566</c:v>
                </c:pt>
                <c:pt idx="56" formatCode="_(* #,##0.0000_);_(* \(#,##0.0000\);_(* &quot;-&quot;??_);_(@_)">
                  <c:v>10.446153846153836</c:v>
                </c:pt>
                <c:pt idx="57" formatCode="_(* #,##0.0000_);_(* \(#,##0.0000\);_(* &quot;-&quot;??_);_(@_)">
                  <c:v>10.475330926594456</c:v>
                </c:pt>
                <c:pt idx="58" formatCode="_(* #,##0.0000_);_(* \(#,##0.0000\);_(* &quot;-&quot;??_);_(@_)">
                  <c:v>10.459183673469377</c:v>
                </c:pt>
                <c:pt idx="59" formatCode="_(* #,##0.0000_);_(* \(#,##0.0000\);_(* &quot;-&quot;??_);_(@_)">
                  <c:v>10.633898305084735</c:v>
                </c:pt>
                <c:pt idx="60" formatCode="_(* #,##0.0000_);_(* \(#,##0.0000\);_(* &quot;-&quot;??_);_(@_)">
                  <c:v>10.006433823529402</c:v>
                </c:pt>
                <c:pt idx="61" formatCode="_(* #,##0.0000_);_(* \(#,##0.0000\);_(* &quot;-&quot;??_);_(@_)">
                  <c:v>10.337423312883427</c:v>
                </c:pt>
                <c:pt idx="62" formatCode="_(* #,##0.0000_);_(* \(#,##0.0000\);_(* &quot;-&quot;??_);_(@_)">
                  <c:v>10.239591516103683</c:v>
                </c:pt>
                <c:pt idx="63" formatCode="_(* #,##0.0000_);_(* \(#,##0.0000\);_(* &quot;-&quot;??_);_(@_)">
                  <c:v>10.262308313155762</c:v>
                </c:pt>
                <c:pt idx="64" formatCode="_(* #,##0.0000_);_(* \(#,##0.0000\);_(* &quot;-&quot;??_);_(@_)">
                  <c:v>10.380132450331118</c:v>
                </c:pt>
                <c:pt idx="65" formatCode="_(* #,##0.0000_);_(* \(#,##0.0000\);_(* &quot;-&quot;??_);_(@_)">
                  <c:v>8.4763670064874805</c:v>
                </c:pt>
                <c:pt idx="66" formatCode="_(* #,##0.0000_);_(* \(#,##0.0000\);_(* &quot;-&quot;??_);_(@_)">
                  <c:v>10.306122448979583</c:v>
                </c:pt>
                <c:pt idx="67" formatCode="_(* #,##0.0000_);_(* \(#,##0.0000\);_(* &quot;-&quot;??_);_(@_)">
                  <c:v>10.281288723667895</c:v>
                </c:pt>
                <c:pt idx="68" formatCode="_(* #,##0.0000_);_(* \(#,##0.0000\);_(* &quot;-&quot;??_);_(@_)">
                  <c:v>10.361702127659566</c:v>
                </c:pt>
                <c:pt idx="69" formatCode="_(* #,##0.0000_);_(* \(#,##0.0000\);_(* &quot;-&quot;??_);_(@_)">
                  <c:v>10.229793977812987</c:v>
                </c:pt>
                <c:pt idx="70" formatCode="_(* #,##0.0000_);_(* \(#,##0.0000\);_(* &quot;-&quot;??_);_(@_)">
                  <c:v>10.165228113440186</c:v>
                </c:pt>
                <c:pt idx="71" formatCode="_(* #,##0.0000_);_(* \(#,##0.0000\);_(* &quot;-&quot;??_);_(@_)">
                  <c:v>10.001851851851853</c:v>
                </c:pt>
                <c:pt idx="72" formatCode="_(* #,##0.0000_);_(* \(#,##0.0000\);_(* &quot;-&quot;??_);_(@_)">
                  <c:v>9.9773684210526312</c:v>
                </c:pt>
                <c:pt idx="73" formatCode="_(* #,##0.0000_);_(* \(#,##0.0000\);_(* &quot;-&quot;??_);_(@_)">
                  <c:v>10.033946488294315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(All)'!$BA$7:$BA$107</c:f>
              <c:numCache>
                <c:formatCode>0.0000</c:formatCode>
                <c:ptCount val="101"/>
                <c:pt idx="38" formatCode="_(* #,##0.0000_);_(* \(#,##0.0000\);_(* &quot;-&quot;??_);_(@_)">
                  <c:v>17.678571428571427</c:v>
                </c:pt>
                <c:pt idx="39" formatCode="_(* #,##0.0000_);_(* \(#,##0.0000\);_(* &quot;-&quot;??_);_(@_)">
                  <c:v>21.698924731182796</c:v>
                </c:pt>
                <c:pt idx="40" formatCode="_(* #,##0.0000_);_(* \(#,##0.0000\);_(* &quot;-&quot;??_);_(@_)">
                  <c:v>22.571428571428573</c:v>
                </c:pt>
                <c:pt idx="41" formatCode="_(* #,##0.0000_);_(* \(#,##0.0000\);_(* &quot;-&quot;??_);_(@_)">
                  <c:v>22.671703296703299</c:v>
                </c:pt>
                <c:pt idx="42" formatCode="_(* #,##0.0000_);_(* \(#,##0.0000\);_(* &quot;-&quot;??_);_(@_)">
                  <c:v>20.405953991880917</c:v>
                </c:pt>
                <c:pt idx="43" formatCode="_(* #,##0.0000_);_(* \(#,##0.0000\);_(* &quot;-&quot;??_);_(@_)">
                  <c:v>18.319008264462813</c:v>
                </c:pt>
                <c:pt idx="47" formatCode="_(* #,##0.0000_);_(* \(#,##0.0000\);_(* &quot;-&quot;??_);_(@_)">
                  <c:v>22.542271562766867</c:v>
                </c:pt>
                <c:pt idx="48" formatCode="_(* #,##0.0000_);_(* \(#,##0.0000\);_(* &quot;-&quot;??_);_(@_)">
                  <c:v>22.567357512953368</c:v>
                </c:pt>
                <c:pt idx="49" formatCode="_(* #,##0.0000_);_(* \(#,##0.0000\);_(* &quot;-&quot;??_);_(@_)">
                  <c:v>19.961928934010153</c:v>
                </c:pt>
                <c:pt idx="50" formatCode="_(* #,##0.0000_);_(* \(#,##0.0000\);_(* &quot;-&quot;??_);_(@_)">
                  <c:v>15.807807807807794</c:v>
                </c:pt>
                <c:pt idx="51" formatCode="_(* #,##0.0000_);_(* \(#,##0.0000\);_(* &quot;-&quot;??_);_(@_)">
                  <c:v>13.159999999999988</c:v>
                </c:pt>
                <c:pt idx="52" formatCode="_(* #,##0.0000_);_(* \(#,##0.0000\);_(* &quot;-&quot;??_);_(@_)">
                  <c:v>10.49374999999999</c:v>
                </c:pt>
                <c:pt idx="53" formatCode="_(* #,##0.0000_);_(* \(#,##0.0000\);_(* &quot;-&quot;??_);_(@_)">
                  <c:v>10.446985446985437</c:v>
                </c:pt>
                <c:pt idx="54" formatCode="_(* #,##0.0000_);_(* \(#,##0.0000\);_(* &quot;-&quot;??_);_(@_)">
                  <c:v>10.411371237458184</c:v>
                </c:pt>
                <c:pt idx="55" formatCode="_(* #,##0.0000_);_(* \(#,##0.0000\);_(* &quot;-&quot;??_);_(@_)">
                  <c:v>10.404896421845566</c:v>
                </c:pt>
                <c:pt idx="56" formatCode="_(* #,##0.0000_);_(* \(#,##0.0000\);_(* &quot;-&quot;??_);_(@_)">
                  <c:v>10.446153846153836</c:v>
                </c:pt>
                <c:pt idx="57" formatCode="_(* #,##0.0000_);_(* \(#,##0.0000\);_(* &quot;-&quot;??_);_(@_)">
                  <c:v>10.475330926594456</c:v>
                </c:pt>
                <c:pt idx="58" formatCode="_(* #,##0.0000_);_(* \(#,##0.0000\);_(* &quot;-&quot;??_);_(@_)">
                  <c:v>10.459183673469377</c:v>
                </c:pt>
                <c:pt idx="59" formatCode="_(* #,##0.0000_);_(* \(#,##0.0000\);_(* &quot;-&quot;??_);_(@_)">
                  <c:v>10.633898305084735</c:v>
                </c:pt>
                <c:pt idx="60" formatCode="_(* #,##0.0000_);_(* \(#,##0.0000\);_(* &quot;-&quot;??_);_(@_)">
                  <c:v>10.006433823529402</c:v>
                </c:pt>
                <c:pt idx="61" formatCode="_(* #,##0.0000_);_(* \(#,##0.0000\);_(* &quot;-&quot;??_);_(@_)">
                  <c:v>10.337423312883427</c:v>
                </c:pt>
                <c:pt idx="62" formatCode="_(* #,##0.0000_);_(* \(#,##0.0000\);_(* &quot;-&quot;??_);_(@_)">
                  <c:v>10.239591516103683</c:v>
                </c:pt>
                <c:pt idx="63" formatCode="_(* #,##0.0000_);_(* \(#,##0.0000\);_(* &quot;-&quot;??_);_(@_)">
                  <c:v>10.262308313155762</c:v>
                </c:pt>
                <c:pt idx="64" formatCode="_(* #,##0.0000_);_(* \(#,##0.0000\);_(* &quot;-&quot;??_);_(@_)">
                  <c:v>10.380132450331118</c:v>
                </c:pt>
                <c:pt idx="65" formatCode="_(* #,##0.0000_);_(* \(#,##0.0000\);_(* &quot;-&quot;??_);_(@_)">
                  <c:v>8.4763670064874805</c:v>
                </c:pt>
                <c:pt idx="66" formatCode="_(* #,##0.0000_);_(* \(#,##0.0000\);_(* &quot;-&quot;??_);_(@_)">
                  <c:v>10.306122448979583</c:v>
                </c:pt>
                <c:pt idx="67" formatCode="_(* #,##0.0000_);_(* \(#,##0.0000\);_(* &quot;-&quot;??_);_(@_)">
                  <c:v>10.281288723667895</c:v>
                </c:pt>
                <c:pt idx="68" formatCode="_(* #,##0.0000_);_(* \(#,##0.0000\);_(* &quot;-&quot;??_);_(@_)">
                  <c:v>10.361702127659566</c:v>
                </c:pt>
                <c:pt idx="69" formatCode="_(* #,##0.0000_);_(* \(#,##0.0000\);_(* &quot;-&quot;??_);_(@_)">
                  <c:v>10.229793977812987</c:v>
                </c:pt>
                <c:pt idx="70" formatCode="_(* #,##0.0000_);_(* \(#,##0.0000\);_(* &quot;-&quot;??_);_(@_)">
                  <c:v>10.165228113440186</c:v>
                </c:pt>
                <c:pt idx="71" formatCode="_(* #,##0.0000_);_(* \(#,##0.0000\);_(* &quot;-&quot;??_);_(@_)">
                  <c:v>10.001851851851853</c:v>
                </c:pt>
                <c:pt idx="72" formatCode="_(* #,##0.0000_);_(* \(#,##0.0000\);_(* &quot;-&quot;??_);_(@_)">
                  <c:v>9.9773684210526312</c:v>
                </c:pt>
                <c:pt idx="73" formatCode="_(* #,##0.0000_);_(* \(#,##0.0000\);_(* &quot;-&quot;??_);_(@_)">
                  <c:v>10.033946488294315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58912"/>
        <c:axId val="747757232"/>
      </c:scatterChart>
      <c:valAx>
        <c:axId val="7477589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57232"/>
        <c:crosses val="autoZero"/>
        <c:crossBetween val="midCat"/>
        <c:majorUnit val="5"/>
      </c:valAx>
      <c:valAx>
        <c:axId val="74775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589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(All)'!$BC$7:$BC$107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(All)'!$BC$7:$BC$107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55552"/>
        <c:axId val="747753872"/>
      </c:scatterChart>
      <c:valAx>
        <c:axId val="7477555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53872"/>
        <c:crosses val="autoZero"/>
        <c:crossBetween val="midCat"/>
        <c:majorUnit val="5"/>
      </c:valAx>
      <c:valAx>
        <c:axId val="74775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555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(All)'!$BE$7:$BE$107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(All)'!$BE$7:$BE$107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52192"/>
        <c:axId val="747750512"/>
      </c:scatterChart>
      <c:valAx>
        <c:axId val="7477521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50512"/>
        <c:crosses val="autoZero"/>
        <c:crossBetween val="midCat"/>
        <c:majorUnit val="5"/>
      </c:valAx>
      <c:valAx>
        <c:axId val="74775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521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(All)'!$BD$7:$BD$107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(All)'!$BD$7:$BD$107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48832"/>
        <c:axId val="747747152"/>
      </c:scatterChart>
      <c:valAx>
        <c:axId val="7477488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47152"/>
        <c:crosses val="autoZero"/>
        <c:crossBetween val="midCat"/>
        <c:majorUnit val="5"/>
      </c:valAx>
      <c:valAx>
        <c:axId val="74774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488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Yezd,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(All)'!$BG$7:$BG$107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(All)'!$BG$7:$BG$107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45472"/>
        <c:axId val="747743792"/>
      </c:scatterChart>
      <c:valAx>
        <c:axId val="7477454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43792"/>
        <c:crosses val="autoZero"/>
        <c:crossBetween val="midCat"/>
        <c:majorUnit val="5"/>
      </c:valAx>
      <c:valAx>
        <c:axId val="74774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454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Yezd, Exports,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(All)'!$BH$7:$BH$107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(All)'!$BH$7:$BH$107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42112"/>
        <c:axId val="747740432"/>
      </c:scatterChart>
      <c:valAx>
        <c:axId val="7477421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40432"/>
        <c:crosses val="autoZero"/>
        <c:crossBetween val="midCat"/>
        <c:majorUnit val="5"/>
      </c:valAx>
      <c:valAx>
        <c:axId val="74774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421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Yezd,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(All)'!$BI$7:$BI$107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(All)'!$BI$7:$BI$107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38752"/>
        <c:axId val="747737072"/>
      </c:scatterChart>
      <c:valAx>
        <c:axId val="7477387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37072"/>
        <c:crosses val="autoZero"/>
        <c:crossBetween val="midCat"/>
        <c:majorUnit val="5"/>
      </c:valAx>
      <c:valAx>
        <c:axId val="74773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387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Basrah, Bazaar (Local), in pound/ton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(All)'!$K$7:$K$107</c:f>
              <c:numCache>
                <c:formatCode>0.0000</c:formatCode>
                <c:ptCount val="101"/>
                <c:pt idx="24">
                  <c:v>7.6469176213857057</c:v>
                </c:pt>
                <c:pt idx="25">
                  <c:v>6.7410801963993379</c:v>
                </c:pt>
                <c:pt idx="26">
                  <c:v>4.6706382978723333</c:v>
                </c:pt>
                <c:pt idx="27">
                  <c:v>6.0124386252045916</c:v>
                </c:pt>
                <c:pt idx="28">
                  <c:v>5.193671576650301</c:v>
                </c:pt>
                <c:pt idx="65">
                  <c:v>12.531468531468521</c:v>
                </c:pt>
                <c:pt idx="66">
                  <c:v>16.44755244755244</c:v>
                </c:pt>
                <c:pt idx="67">
                  <c:v>4.2275642619249538</c:v>
                </c:pt>
                <c:pt idx="68">
                  <c:v>5.5608975952582975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(All)'!$K$7:$K$107</c:f>
              <c:numCache>
                <c:formatCode>0.0000</c:formatCode>
                <c:ptCount val="101"/>
                <c:pt idx="24">
                  <c:v>7.6469176213857057</c:v>
                </c:pt>
                <c:pt idx="25">
                  <c:v>6.7410801963993379</c:v>
                </c:pt>
                <c:pt idx="26">
                  <c:v>4.6706382978723333</c:v>
                </c:pt>
                <c:pt idx="27">
                  <c:v>6.0124386252045916</c:v>
                </c:pt>
                <c:pt idx="28">
                  <c:v>5.193671576650301</c:v>
                </c:pt>
                <c:pt idx="65">
                  <c:v>12.531468531468521</c:v>
                </c:pt>
                <c:pt idx="66">
                  <c:v>16.44755244755244</c:v>
                </c:pt>
                <c:pt idx="67">
                  <c:v>4.2275642619249538</c:v>
                </c:pt>
                <c:pt idx="68">
                  <c:v>5.5608975952582975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33136"/>
        <c:axId val="622121936"/>
      </c:scatterChart>
      <c:valAx>
        <c:axId val="6221331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21936"/>
        <c:crosses val="autoZero"/>
        <c:crossBetween val="midCat"/>
        <c:majorUnit val="5"/>
      </c:valAx>
      <c:valAx>
        <c:axId val="62212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331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(All)'!$BJ$7:$BJ$107</c:f>
              <c:numCache>
                <c:formatCode>0.0000</c:formatCode>
                <c:ptCount val="101"/>
                <c:pt idx="62">
                  <c:v>16.242858193766711</c:v>
                </c:pt>
                <c:pt idx="63">
                  <c:v>21.99941844236568</c:v>
                </c:pt>
                <c:pt idx="64">
                  <c:v>25.879577761119936</c:v>
                </c:pt>
                <c:pt idx="65">
                  <c:v>19.574988028994611</c:v>
                </c:pt>
                <c:pt idx="66">
                  <c:v>21.897655873991074</c:v>
                </c:pt>
                <c:pt idx="67">
                  <c:v>21.821411611170394</c:v>
                </c:pt>
                <c:pt idx="68">
                  <c:v>19.587129848532019</c:v>
                </c:pt>
                <c:pt idx="69">
                  <c:v>17.939606421844463</c:v>
                </c:pt>
                <c:pt idx="70">
                  <c:v>17.858419541786276</c:v>
                </c:pt>
                <c:pt idx="71">
                  <c:v>22.475728695187936</c:v>
                </c:pt>
                <c:pt idx="72">
                  <c:v>30.492258845972223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(All)'!$BJ$7:$BJ$107</c:f>
              <c:numCache>
                <c:formatCode>0.0000</c:formatCode>
                <c:ptCount val="101"/>
                <c:pt idx="62">
                  <c:v>16.242858193766711</c:v>
                </c:pt>
                <c:pt idx="63">
                  <c:v>21.99941844236568</c:v>
                </c:pt>
                <c:pt idx="64">
                  <c:v>25.879577761119936</c:v>
                </c:pt>
                <c:pt idx="65">
                  <c:v>19.574988028994611</c:v>
                </c:pt>
                <c:pt idx="66">
                  <c:v>21.897655873991074</c:v>
                </c:pt>
                <c:pt idx="67">
                  <c:v>21.821411611170394</c:v>
                </c:pt>
                <c:pt idx="68">
                  <c:v>19.587129848532019</c:v>
                </c:pt>
                <c:pt idx="69">
                  <c:v>17.939606421844463</c:v>
                </c:pt>
                <c:pt idx="70">
                  <c:v>17.858419541786276</c:v>
                </c:pt>
                <c:pt idx="71">
                  <c:v>22.475728695187936</c:v>
                </c:pt>
                <c:pt idx="72">
                  <c:v>30.492258845972223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35392"/>
        <c:axId val="747733712"/>
      </c:scatterChart>
      <c:valAx>
        <c:axId val="7477353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33712"/>
        <c:crosses val="autoZero"/>
        <c:crossBetween val="midCat"/>
        <c:majorUnit val="5"/>
      </c:valAx>
      <c:valAx>
        <c:axId val="74773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353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Exports,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(All)'!$BK$7:$BK$107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(All)'!$BK$7:$BK$107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32032"/>
        <c:axId val="747730352"/>
      </c:scatterChart>
      <c:valAx>
        <c:axId val="7477320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30352"/>
        <c:crosses val="autoZero"/>
        <c:crossBetween val="midCat"/>
        <c:majorUnit val="5"/>
      </c:valAx>
      <c:valAx>
        <c:axId val="74773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320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Bazaar (Local),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(All)'!$BL$7:$BL$107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(All)'!$BL$7:$BL$107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28672"/>
        <c:axId val="747726992"/>
      </c:scatterChart>
      <c:valAx>
        <c:axId val="7477286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26992"/>
        <c:crosses val="autoZero"/>
        <c:crossBetween val="midCat"/>
        <c:majorUnit val="5"/>
      </c:valAx>
      <c:valAx>
        <c:axId val="74772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286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Kermanshah,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(All)'!$BM$7:$BM$107</c:f>
              <c:numCache>
                <c:formatCode>0.0000</c:formatCode>
                <c:ptCount val="101"/>
                <c:pt idx="63">
                  <c:v>18.02173821813756</c:v>
                </c:pt>
                <c:pt idx="64">
                  <c:v>19.267416574291122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(All)'!$BM$7:$BM$107</c:f>
              <c:numCache>
                <c:formatCode>0.0000</c:formatCode>
                <c:ptCount val="101"/>
                <c:pt idx="63">
                  <c:v>18.02173821813756</c:v>
                </c:pt>
                <c:pt idx="64">
                  <c:v>19.267416574291122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25312"/>
        <c:axId val="747723632"/>
      </c:scatterChart>
      <c:valAx>
        <c:axId val="7477253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23632"/>
        <c:crosses val="autoZero"/>
        <c:crossBetween val="midCat"/>
        <c:majorUnit val="5"/>
      </c:valAx>
      <c:valAx>
        <c:axId val="74772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253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Kermanshah, Exports,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(All)'!$BN$7:$BN$107</c:f>
              <c:numCache>
                <c:formatCode>0.0000</c:formatCode>
                <c:ptCount val="101"/>
                <c:pt idx="63">
                  <c:v>10.448156150214981</c:v>
                </c:pt>
                <c:pt idx="64">
                  <c:v>5.5294390998183998</c:v>
                </c:pt>
                <c:pt idx="65">
                  <c:v>12.307692307692299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(All)'!$BN$7:$BN$107</c:f>
              <c:numCache>
                <c:formatCode>0.0000</c:formatCode>
                <c:ptCount val="101"/>
                <c:pt idx="63">
                  <c:v>10.448156150214981</c:v>
                </c:pt>
                <c:pt idx="64">
                  <c:v>5.5294390998183998</c:v>
                </c:pt>
                <c:pt idx="65">
                  <c:v>12.307692307692299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21952"/>
        <c:axId val="747720272"/>
      </c:scatterChart>
      <c:valAx>
        <c:axId val="7477219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20272"/>
        <c:crosses val="autoZero"/>
        <c:crossBetween val="midCat"/>
        <c:majorUnit val="5"/>
      </c:valAx>
      <c:valAx>
        <c:axId val="74772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219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Kermanshah,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(All)'!$BO$7:$BO$107</c:f>
              <c:numCache>
                <c:formatCode>0.0000</c:formatCode>
                <c:ptCount val="101"/>
                <c:pt idx="62">
                  <c:v>18.515519568151181</c:v>
                </c:pt>
                <c:pt idx="64">
                  <c:v>19.19268849961918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(All)'!$BO$7:$BO$107</c:f>
              <c:numCache>
                <c:formatCode>0.0000</c:formatCode>
                <c:ptCount val="101"/>
                <c:pt idx="62">
                  <c:v>18.515519568151181</c:v>
                </c:pt>
                <c:pt idx="64">
                  <c:v>19.19268849961918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18592"/>
        <c:axId val="747716912"/>
      </c:scatterChart>
      <c:valAx>
        <c:axId val="7477185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16912"/>
        <c:crosses val="autoZero"/>
        <c:crossBetween val="midCat"/>
        <c:majorUnit val="5"/>
      </c:valAx>
      <c:valAx>
        <c:axId val="74771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185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Kerman, Imports,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(All)'!$BP$7:$BP$107</c:f>
              <c:numCache>
                <c:formatCode>0.0000</c:formatCode>
                <c:ptCount val="101"/>
                <c:pt idx="68">
                  <c:v>13.333333333333339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(All)'!$BP$7:$BP$107</c:f>
              <c:numCache>
                <c:formatCode>0.0000</c:formatCode>
                <c:ptCount val="101"/>
                <c:pt idx="68">
                  <c:v>13.333333333333339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15232"/>
        <c:axId val="747702912"/>
      </c:scatterChart>
      <c:valAx>
        <c:axId val="7477152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02912"/>
        <c:crosses val="autoZero"/>
        <c:crossBetween val="midCat"/>
        <c:majorUnit val="5"/>
      </c:valAx>
      <c:valAx>
        <c:axId val="74770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152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Kerman,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(All)'!$BQ$7:$BQ$107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(All)'!$BQ$7:$BQ$107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99552"/>
        <c:axId val="747703472"/>
      </c:scatterChart>
      <c:valAx>
        <c:axId val="7476995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03472"/>
        <c:crosses val="autoZero"/>
        <c:crossBetween val="midCat"/>
        <c:majorUnit val="5"/>
      </c:valAx>
      <c:valAx>
        <c:axId val="74770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995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Kerman, Bazaar (Local), in pound/ton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(All)'!$BR$7:$BR$107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(All)'!$BR$7:$BR$107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07392"/>
        <c:axId val="747788032"/>
      </c:scatterChart>
      <c:valAx>
        <c:axId val="7477073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88032"/>
        <c:crosses val="autoZero"/>
        <c:crossBetween val="midCat"/>
        <c:majorUnit val="5"/>
      </c:valAx>
      <c:valAx>
        <c:axId val="74778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073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Bam, Imports, in pound/ton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(All)'!$BS$7:$BS$107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(All)'!$BS$7:$BS$107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89712"/>
        <c:axId val="747791392"/>
      </c:scatterChart>
      <c:valAx>
        <c:axId val="7477897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91392"/>
        <c:crosses val="autoZero"/>
        <c:crossBetween val="midCat"/>
        <c:majorUnit val="5"/>
      </c:valAx>
      <c:valAx>
        <c:axId val="74779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897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(All)'!$S$7:$S$107</c:f>
              <c:numCache>
                <c:formatCode>0.0000</c:formatCode>
                <c:ptCount val="101"/>
                <c:pt idx="33">
                  <c:v>18.82109374081001</c:v>
                </c:pt>
                <c:pt idx="34">
                  <c:v>16.933690934114416</c:v>
                </c:pt>
                <c:pt idx="35">
                  <c:v>16.503803127740028</c:v>
                </c:pt>
                <c:pt idx="36">
                  <c:v>18.4000090406903</c:v>
                </c:pt>
                <c:pt idx="37">
                  <c:v>19.147536156170954</c:v>
                </c:pt>
                <c:pt idx="39">
                  <c:v>20.200702379800049</c:v>
                </c:pt>
                <c:pt idx="40">
                  <c:v>17.188880090750949</c:v>
                </c:pt>
                <c:pt idx="41">
                  <c:v>16.115297648731701</c:v>
                </c:pt>
                <c:pt idx="42">
                  <c:v>14.269516885032035</c:v>
                </c:pt>
                <c:pt idx="43">
                  <c:v>16.065143689245684</c:v>
                </c:pt>
                <c:pt idx="44">
                  <c:v>14.153271525240692</c:v>
                </c:pt>
                <c:pt idx="45">
                  <c:v>14.999999999999996</c:v>
                </c:pt>
                <c:pt idx="46">
                  <c:v>11.749999999999991</c:v>
                </c:pt>
                <c:pt idx="47">
                  <c:v>11.636363636363624</c:v>
                </c:pt>
                <c:pt idx="48">
                  <c:v>20.376470588235307</c:v>
                </c:pt>
                <c:pt idx="49">
                  <c:v>21</c:v>
                </c:pt>
                <c:pt idx="50">
                  <c:v>10.761904761904756</c:v>
                </c:pt>
                <c:pt idx="52">
                  <c:v>12.000000000000005</c:v>
                </c:pt>
                <c:pt idx="53">
                  <c:v>12.000000000000005</c:v>
                </c:pt>
                <c:pt idx="54">
                  <c:v>11.833333333333345</c:v>
                </c:pt>
                <c:pt idx="55">
                  <c:v>9.9999999999999893</c:v>
                </c:pt>
                <c:pt idx="56">
                  <c:v>9.9999999999999893</c:v>
                </c:pt>
                <c:pt idx="57">
                  <c:v>9.9999999999999893</c:v>
                </c:pt>
                <c:pt idx="58">
                  <c:v>15.434782608695654</c:v>
                </c:pt>
                <c:pt idx="59">
                  <c:v>10.833333333333323</c:v>
                </c:pt>
                <c:pt idx="60">
                  <c:v>10.47126436781609</c:v>
                </c:pt>
                <c:pt idx="61">
                  <c:v>9.0781843631273755</c:v>
                </c:pt>
                <c:pt idx="62">
                  <c:v>9.4601287766220938</c:v>
                </c:pt>
                <c:pt idx="63">
                  <c:v>10.315265486725673</c:v>
                </c:pt>
                <c:pt idx="64">
                  <c:v>10.264550264550266</c:v>
                </c:pt>
                <c:pt idx="65">
                  <c:v>11.766467065868255</c:v>
                </c:pt>
                <c:pt idx="66">
                  <c:v>12.621195717550828</c:v>
                </c:pt>
                <c:pt idx="67">
                  <c:v>12.762706579357662</c:v>
                </c:pt>
                <c:pt idx="69">
                  <c:v>12.969326431036528</c:v>
                </c:pt>
                <c:pt idx="70">
                  <c:v>11.633117402431214</c:v>
                </c:pt>
                <c:pt idx="71">
                  <c:v>15.425945816923264</c:v>
                </c:pt>
                <c:pt idx="72">
                  <c:v>15.999999999999993</c:v>
                </c:pt>
                <c:pt idx="73">
                  <c:v>12.368935293152749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(All)'!$S$7:$S$107</c:f>
              <c:numCache>
                <c:formatCode>0.0000</c:formatCode>
                <c:ptCount val="101"/>
                <c:pt idx="33">
                  <c:v>18.82109374081001</c:v>
                </c:pt>
                <c:pt idx="34">
                  <c:v>16.933690934114416</c:v>
                </c:pt>
                <c:pt idx="35">
                  <c:v>16.503803127740028</c:v>
                </c:pt>
                <c:pt idx="36">
                  <c:v>18.4000090406903</c:v>
                </c:pt>
                <c:pt idx="37">
                  <c:v>19.147536156170954</c:v>
                </c:pt>
                <c:pt idx="39">
                  <c:v>20.200702379800049</c:v>
                </c:pt>
                <c:pt idx="40">
                  <c:v>17.188880090750949</c:v>
                </c:pt>
                <c:pt idx="41">
                  <c:v>16.115297648731701</c:v>
                </c:pt>
                <c:pt idx="42">
                  <c:v>14.269516885032035</c:v>
                </c:pt>
                <c:pt idx="43">
                  <c:v>16.065143689245684</c:v>
                </c:pt>
                <c:pt idx="44">
                  <c:v>14.153271525240692</c:v>
                </c:pt>
                <c:pt idx="45">
                  <c:v>14.999999999999996</c:v>
                </c:pt>
                <c:pt idx="46">
                  <c:v>11.749999999999991</c:v>
                </c:pt>
                <c:pt idx="47">
                  <c:v>11.636363636363624</c:v>
                </c:pt>
                <c:pt idx="48">
                  <c:v>20.376470588235307</c:v>
                </c:pt>
                <c:pt idx="49">
                  <c:v>21</c:v>
                </c:pt>
                <c:pt idx="50">
                  <c:v>10.761904761904756</c:v>
                </c:pt>
                <c:pt idx="52">
                  <c:v>12.000000000000005</c:v>
                </c:pt>
                <c:pt idx="53">
                  <c:v>12.000000000000005</c:v>
                </c:pt>
                <c:pt idx="54">
                  <c:v>11.833333333333345</c:v>
                </c:pt>
                <c:pt idx="55">
                  <c:v>9.9999999999999893</c:v>
                </c:pt>
                <c:pt idx="56">
                  <c:v>9.9999999999999893</c:v>
                </c:pt>
                <c:pt idx="57">
                  <c:v>9.9999999999999893</c:v>
                </c:pt>
                <c:pt idx="58">
                  <c:v>15.434782608695654</c:v>
                </c:pt>
                <c:pt idx="59">
                  <c:v>10.833333333333323</c:v>
                </c:pt>
                <c:pt idx="60">
                  <c:v>10.47126436781609</c:v>
                </c:pt>
                <c:pt idx="61">
                  <c:v>9.0781843631273755</c:v>
                </c:pt>
                <c:pt idx="62">
                  <c:v>9.4601287766220938</c:v>
                </c:pt>
                <c:pt idx="63">
                  <c:v>10.315265486725673</c:v>
                </c:pt>
                <c:pt idx="64">
                  <c:v>10.264550264550266</c:v>
                </c:pt>
                <c:pt idx="65">
                  <c:v>11.766467065868255</c:v>
                </c:pt>
                <c:pt idx="66">
                  <c:v>12.621195717550828</c:v>
                </c:pt>
                <c:pt idx="67">
                  <c:v>12.762706579357662</c:v>
                </c:pt>
                <c:pt idx="69">
                  <c:v>12.969326431036528</c:v>
                </c:pt>
                <c:pt idx="70">
                  <c:v>11.633117402431214</c:v>
                </c:pt>
                <c:pt idx="71">
                  <c:v>15.425945816923264</c:v>
                </c:pt>
                <c:pt idx="72">
                  <c:v>15.999999999999993</c:v>
                </c:pt>
                <c:pt idx="73">
                  <c:v>12.368935293152749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77376"/>
        <c:axId val="622176256"/>
      </c:scatterChart>
      <c:valAx>
        <c:axId val="6221773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76256"/>
        <c:crosses val="autoZero"/>
        <c:crossBetween val="midCat"/>
        <c:majorUnit val="5"/>
      </c:valAx>
      <c:valAx>
        <c:axId val="62217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773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Bam, Exports, 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(All)'!$BT$7:$BT$107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(All)'!$BT$7:$BT$107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98992"/>
        <c:axId val="747698432"/>
      </c:scatterChart>
      <c:valAx>
        <c:axId val="7476989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98432"/>
        <c:crosses val="autoZero"/>
        <c:crossBetween val="midCat"/>
        <c:majorUnit val="5"/>
      </c:valAx>
      <c:valAx>
        <c:axId val="74769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989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Bam,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(All)'!$BU$7:$BU$107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(All)'!$BU$7:$BU$107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95632"/>
        <c:axId val="747695072"/>
      </c:scatterChart>
      <c:valAx>
        <c:axId val="7476956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95072"/>
        <c:crosses val="autoZero"/>
        <c:crossBetween val="midCat"/>
        <c:majorUnit val="5"/>
      </c:valAx>
      <c:valAx>
        <c:axId val="74769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956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(All)'!$BV$7:$BV$107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(All)'!$BV$7:$BV$107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92272"/>
        <c:axId val="747691712"/>
      </c:scatterChart>
      <c:valAx>
        <c:axId val="7476922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91712"/>
        <c:crosses val="autoZero"/>
        <c:crossBetween val="midCat"/>
        <c:majorUnit val="5"/>
      </c:valAx>
      <c:valAx>
        <c:axId val="74769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922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(All)'!$BW$7:$BW$107</c:f>
              <c:numCache>
                <c:formatCode>0.0000</c:formatCode>
                <c:ptCount val="101"/>
                <c:pt idx="33">
                  <c:v>7.1111111111111001</c:v>
                </c:pt>
                <c:pt idx="34">
                  <c:v>4.6851034162212448</c:v>
                </c:pt>
                <c:pt idx="35">
                  <c:v>4.495582608695651</c:v>
                </c:pt>
                <c:pt idx="50">
                  <c:v>5.6293028268060414</c:v>
                </c:pt>
                <c:pt idx="53">
                  <c:v>5.0109858147600166</c:v>
                </c:pt>
                <c:pt idx="54">
                  <c:v>3.995231956859763</c:v>
                </c:pt>
                <c:pt idx="55">
                  <c:v>4.1442043923851202</c:v>
                </c:pt>
                <c:pt idx="62">
                  <c:v>7.2629548071950909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(All)'!$BW$7:$BW$107</c:f>
              <c:numCache>
                <c:formatCode>0.0000</c:formatCode>
                <c:ptCount val="101"/>
                <c:pt idx="33">
                  <c:v>7.1111111111111001</c:v>
                </c:pt>
                <c:pt idx="34">
                  <c:v>4.6851034162212448</c:v>
                </c:pt>
                <c:pt idx="35">
                  <c:v>4.495582608695651</c:v>
                </c:pt>
                <c:pt idx="50">
                  <c:v>5.6293028268060414</c:v>
                </c:pt>
                <c:pt idx="53">
                  <c:v>5.0109858147600166</c:v>
                </c:pt>
                <c:pt idx="54">
                  <c:v>3.995231956859763</c:v>
                </c:pt>
                <c:pt idx="55">
                  <c:v>4.1442043923851202</c:v>
                </c:pt>
                <c:pt idx="62">
                  <c:v>7.2629548071950909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88912"/>
        <c:axId val="747688352"/>
      </c:scatterChart>
      <c:valAx>
        <c:axId val="7476889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88352"/>
        <c:crosses val="autoZero"/>
        <c:crossBetween val="midCat"/>
        <c:majorUnit val="5"/>
      </c:valAx>
      <c:valAx>
        <c:axId val="74768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889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(All)'!$BX$7:$BX$107</c:f>
              <c:numCache>
                <c:formatCode>0.0000</c:formatCode>
                <c:ptCount val="101"/>
                <c:pt idx="34">
                  <c:v>7.027450980392147</c:v>
                </c:pt>
                <c:pt idx="50">
                  <c:v>7.4666666666666597</c:v>
                </c:pt>
                <c:pt idx="51">
                  <c:v>8.4</c:v>
                </c:pt>
                <c:pt idx="52">
                  <c:v>10.422222222222228</c:v>
                </c:pt>
                <c:pt idx="53">
                  <c:v>9.333333333333341</c:v>
                </c:pt>
                <c:pt idx="57">
                  <c:v>10.55892255892255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(All)'!$BX$7:$BX$107</c:f>
              <c:numCache>
                <c:formatCode>0.0000</c:formatCode>
                <c:ptCount val="101"/>
                <c:pt idx="34">
                  <c:v>7.027450980392147</c:v>
                </c:pt>
                <c:pt idx="50">
                  <c:v>7.4666666666666597</c:v>
                </c:pt>
                <c:pt idx="51">
                  <c:v>8.4</c:v>
                </c:pt>
                <c:pt idx="52">
                  <c:v>10.422222222222228</c:v>
                </c:pt>
                <c:pt idx="53">
                  <c:v>9.333333333333341</c:v>
                </c:pt>
                <c:pt idx="57">
                  <c:v>10.55892255892255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85552"/>
        <c:axId val="747684992"/>
      </c:scatterChart>
      <c:valAx>
        <c:axId val="7476855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84992"/>
        <c:crosses val="autoZero"/>
        <c:crossBetween val="midCat"/>
        <c:majorUnit val="5"/>
      </c:valAx>
      <c:valAx>
        <c:axId val="74768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855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Mazandaran,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(All)'!$BY$7:$BY$107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(All)'!$BY$7:$BY$107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82192"/>
        <c:axId val="747681632"/>
      </c:scatterChart>
      <c:valAx>
        <c:axId val="7476821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81632"/>
        <c:crosses val="autoZero"/>
        <c:crossBetween val="midCat"/>
        <c:majorUnit val="5"/>
      </c:valAx>
      <c:valAx>
        <c:axId val="74768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821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Mazandaran,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(All)'!$BZ$7:$BZ$107</c:f>
              <c:numCache>
                <c:formatCode>0.0000</c:formatCode>
                <c:ptCount val="101"/>
                <c:pt idx="66">
                  <c:v>7.4735427324783013</c:v>
                </c:pt>
                <c:pt idx="67">
                  <c:v>7.2000658786375205</c:v>
                </c:pt>
                <c:pt idx="68">
                  <c:v>7.1370870242408797</c:v>
                </c:pt>
                <c:pt idx="69">
                  <c:v>6.6737362197146597</c:v>
                </c:pt>
                <c:pt idx="70">
                  <c:v>7.5241553255998301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(All)'!$BZ$7:$BZ$107</c:f>
              <c:numCache>
                <c:formatCode>0.0000</c:formatCode>
                <c:ptCount val="101"/>
                <c:pt idx="66">
                  <c:v>7.4735427324783013</c:v>
                </c:pt>
                <c:pt idx="67">
                  <c:v>7.2000658786375205</c:v>
                </c:pt>
                <c:pt idx="68">
                  <c:v>7.1370870242408797</c:v>
                </c:pt>
                <c:pt idx="69">
                  <c:v>6.6737362197146597</c:v>
                </c:pt>
                <c:pt idx="70">
                  <c:v>7.5241553255998301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78832"/>
        <c:axId val="747678272"/>
      </c:scatterChart>
      <c:valAx>
        <c:axId val="7476788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78272"/>
        <c:crosses val="autoZero"/>
        <c:crossBetween val="midCat"/>
        <c:majorUnit val="5"/>
      </c:valAx>
      <c:valAx>
        <c:axId val="74767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788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Mazandaran,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(All)'!$CA$7:$CA$107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(All)'!$CA$7:$CA$107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75472"/>
        <c:axId val="747674912"/>
      </c:scatterChart>
      <c:valAx>
        <c:axId val="7476754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74912"/>
        <c:crosses val="autoZero"/>
        <c:crossBetween val="midCat"/>
        <c:majorUnit val="5"/>
      </c:valAx>
      <c:valAx>
        <c:axId val="74767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754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Ghilan &amp; Tunekabun,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(All)'!$CB$7:$CB$107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(All)'!$CB$7:$CB$107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72112"/>
        <c:axId val="747671552"/>
      </c:scatterChart>
      <c:valAx>
        <c:axId val="7476721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71552"/>
        <c:crosses val="autoZero"/>
        <c:crossBetween val="midCat"/>
        <c:majorUnit val="5"/>
      </c:valAx>
      <c:valAx>
        <c:axId val="74767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721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Ghilan &amp; Tunekabun,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(All)'!$CC$7:$CC$107</c:f>
              <c:numCache>
                <c:formatCode>0.0000</c:formatCode>
                <c:ptCount val="101"/>
                <c:pt idx="24">
                  <c:v>11.48</c:v>
                </c:pt>
                <c:pt idx="30">
                  <c:v>20.130718954248358</c:v>
                </c:pt>
                <c:pt idx="31">
                  <c:v>7.3202614379084956</c:v>
                </c:pt>
                <c:pt idx="35">
                  <c:v>4.8333333333333446</c:v>
                </c:pt>
                <c:pt idx="36">
                  <c:v>5.0000000000000062</c:v>
                </c:pt>
                <c:pt idx="66">
                  <c:v>9.7677565992478073</c:v>
                </c:pt>
                <c:pt idx="67">
                  <c:v>10.055436318346946</c:v>
                </c:pt>
                <c:pt idx="68">
                  <c:v>9.8067878788984597</c:v>
                </c:pt>
                <c:pt idx="69">
                  <c:v>8.4995967867301569</c:v>
                </c:pt>
                <c:pt idx="70">
                  <c:v>8.4748087568484927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(All)'!$CC$7:$CC$107</c:f>
              <c:numCache>
                <c:formatCode>0.0000</c:formatCode>
                <c:ptCount val="101"/>
                <c:pt idx="24">
                  <c:v>11.48</c:v>
                </c:pt>
                <c:pt idx="30">
                  <c:v>20.130718954248358</c:v>
                </c:pt>
                <c:pt idx="31">
                  <c:v>7.3202614379084956</c:v>
                </c:pt>
                <c:pt idx="35">
                  <c:v>4.8333333333333446</c:v>
                </c:pt>
                <c:pt idx="36">
                  <c:v>5.0000000000000062</c:v>
                </c:pt>
                <c:pt idx="66">
                  <c:v>9.7677565992478073</c:v>
                </c:pt>
                <c:pt idx="67">
                  <c:v>10.055436318346946</c:v>
                </c:pt>
                <c:pt idx="68">
                  <c:v>9.8067878788984597</c:v>
                </c:pt>
                <c:pt idx="69">
                  <c:v>8.4995967867301569</c:v>
                </c:pt>
                <c:pt idx="70">
                  <c:v>8.4748087568484927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668752"/>
        <c:axId val="747668192"/>
      </c:scatterChart>
      <c:valAx>
        <c:axId val="74766875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68192"/>
        <c:crosses val="autoZero"/>
        <c:crossBetween val="midCat"/>
        <c:majorUnit val="5"/>
      </c:valAx>
      <c:valAx>
        <c:axId val="74766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66875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(All)'!$T$7:$T$107</c:f>
              <c:numCache>
                <c:formatCode>0.0000</c:formatCode>
                <c:ptCount val="101"/>
                <c:pt idx="18">
                  <c:v>20.159684863806209</c:v>
                </c:pt>
                <c:pt idx="40">
                  <c:v>19.472422879812804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(All)'!$T$7:$T$107</c:f>
              <c:numCache>
                <c:formatCode>0.0000</c:formatCode>
                <c:ptCount val="101"/>
                <c:pt idx="18">
                  <c:v>20.159684863806209</c:v>
                </c:pt>
                <c:pt idx="40">
                  <c:v>19.472422879812804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74016"/>
        <c:axId val="622136496"/>
      </c:scatterChart>
      <c:valAx>
        <c:axId val="6221740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36496"/>
        <c:crosses val="autoZero"/>
        <c:crossBetween val="midCat"/>
        <c:majorUnit val="5"/>
      </c:valAx>
      <c:valAx>
        <c:axId val="62213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740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Ghilan &amp; Tunekabun,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(All)'!$CD$7:$CD$107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(All)'!$CD$7:$CD$107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701792"/>
        <c:axId val="747706832"/>
      </c:scatterChart>
      <c:valAx>
        <c:axId val="7477017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06832"/>
        <c:crosses val="autoZero"/>
        <c:crossBetween val="midCat"/>
        <c:majorUnit val="5"/>
      </c:valAx>
      <c:valAx>
        <c:axId val="74770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77017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Bender Gez &amp; Astarabad,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(All)'!$CE$7:$CE$107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(All)'!$CE$7:$CE$107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482816"/>
        <c:axId val="721474416"/>
      </c:scatterChart>
      <c:valAx>
        <c:axId val="7214828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74416"/>
        <c:crosses val="autoZero"/>
        <c:crossBetween val="midCat"/>
        <c:majorUnit val="5"/>
      </c:valAx>
      <c:valAx>
        <c:axId val="72147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828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Bender Gez &amp; Astarabad,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(All)'!$CF$7:$CF$107</c:f>
              <c:numCache>
                <c:formatCode>0.0000</c:formatCode>
                <c:ptCount val="101"/>
                <c:pt idx="41">
                  <c:v>9.570256410256416</c:v>
                </c:pt>
                <c:pt idx="42">
                  <c:v>9.8311111111111131</c:v>
                </c:pt>
                <c:pt idx="66">
                  <c:v>10.528768935218711</c:v>
                </c:pt>
                <c:pt idx="67">
                  <c:v>10.711933113757276</c:v>
                </c:pt>
                <c:pt idx="68">
                  <c:v>9.5763791632882906</c:v>
                </c:pt>
                <c:pt idx="69">
                  <c:v>10.406079008616031</c:v>
                </c:pt>
                <c:pt idx="70">
                  <c:v>10.983446932814024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(All)'!$CF$7:$CF$107</c:f>
              <c:numCache>
                <c:formatCode>0.0000</c:formatCode>
                <c:ptCount val="101"/>
                <c:pt idx="41">
                  <c:v>9.570256410256416</c:v>
                </c:pt>
                <c:pt idx="42">
                  <c:v>9.8311111111111131</c:v>
                </c:pt>
                <c:pt idx="66">
                  <c:v>10.528768935218711</c:v>
                </c:pt>
                <c:pt idx="67">
                  <c:v>10.711933113757276</c:v>
                </c:pt>
                <c:pt idx="68">
                  <c:v>9.5763791632882906</c:v>
                </c:pt>
                <c:pt idx="69">
                  <c:v>10.406079008616031</c:v>
                </c:pt>
                <c:pt idx="70">
                  <c:v>10.983446932814024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402176"/>
        <c:axId val="721404976"/>
      </c:scatterChart>
      <c:valAx>
        <c:axId val="7214021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04976"/>
        <c:crosses val="autoZero"/>
        <c:crossBetween val="midCat"/>
        <c:majorUnit val="5"/>
      </c:valAx>
      <c:valAx>
        <c:axId val="72140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021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Bender Gez &amp; Astarabad,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(All)'!$CG$7:$CG$107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(All)'!$CG$7:$CG$107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485056"/>
        <c:axId val="721480576"/>
      </c:scatterChart>
      <c:valAx>
        <c:axId val="7214850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80576"/>
        <c:crosses val="autoZero"/>
        <c:crossBetween val="midCat"/>
        <c:majorUnit val="5"/>
      </c:valAx>
      <c:valAx>
        <c:axId val="72148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850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Astara (Imports),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(All)'!$CH$7:$CH$107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(All)'!$CH$7:$CH$107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408336"/>
        <c:axId val="721408896"/>
      </c:scatterChart>
      <c:valAx>
        <c:axId val="7214083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08896"/>
        <c:crosses val="autoZero"/>
        <c:crossBetween val="midCat"/>
        <c:majorUnit val="5"/>
      </c:valAx>
      <c:valAx>
        <c:axId val="72140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083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Astara (Exports),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(All)'!$CI$7:$CI$107</c:f>
              <c:numCache>
                <c:formatCode>0.0000</c:formatCode>
                <c:ptCount val="101"/>
                <c:pt idx="68">
                  <c:v>10.672860659700602</c:v>
                </c:pt>
                <c:pt idx="69">
                  <c:v>10.735063159868993</c:v>
                </c:pt>
                <c:pt idx="70">
                  <c:v>9.0894416457605818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(All)'!$CI$7:$CI$107</c:f>
              <c:numCache>
                <c:formatCode>0.0000</c:formatCode>
                <c:ptCount val="101"/>
                <c:pt idx="68">
                  <c:v>10.672860659700602</c:v>
                </c:pt>
                <c:pt idx="69">
                  <c:v>10.735063159868993</c:v>
                </c:pt>
                <c:pt idx="70">
                  <c:v>9.0894416457605818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364656"/>
        <c:axId val="721357936"/>
      </c:scatterChart>
      <c:valAx>
        <c:axId val="7213646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57936"/>
        <c:crosses val="autoZero"/>
        <c:crossBetween val="midCat"/>
        <c:majorUnit val="5"/>
      </c:valAx>
      <c:valAx>
        <c:axId val="72135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646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Astara,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(All)'!$CJ$7:$CJ$107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(All)'!$CJ$7:$CJ$107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462656"/>
        <c:axId val="721462096"/>
      </c:scatterChart>
      <c:valAx>
        <c:axId val="7214626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62096"/>
        <c:crosses val="autoZero"/>
        <c:crossBetween val="midCat"/>
        <c:majorUnit val="5"/>
      </c:valAx>
      <c:valAx>
        <c:axId val="72146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626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Sultanabad,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(All)'!$CK$7:$CK$107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(All)'!$CK$7:$CK$107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459296"/>
        <c:axId val="721458736"/>
      </c:scatterChart>
      <c:valAx>
        <c:axId val="7214592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58736"/>
        <c:crosses val="autoZero"/>
        <c:crossBetween val="midCat"/>
        <c:majorUnit val="5"/>
      </c:valAx>
      <c:valAx>
        <c:axId val="72145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592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Sultanabad,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(All)'!$CL$7:$CL$107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(All)'!$CL$7:$CL$107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465456"/>
        <c:axId val="721455376"/>
      </c:scatterChart>
      <c:valAx>
        <c:axId val="7214654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55376"/>
        <c:crosses val="autoZero"/>
        <c:crossBetween val="midCat"/>
        <c:majorUnit val="5"/>
      </c:valAx>
      <c:valAx>
        <c:axId val="72145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654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Sultanabad,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(All)'!$CM$7:$CM$107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(All)'!$CM$7:$CM$107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446976"/>
        <c:axId val="721448096"/>
      </c:scatterChart>
      <c:valAx>
        <c:axId val="7214469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48096"/>
        <c:crosses val="autoZero"/>
        <c:crossBetween val="midCat"/>
        <c:majorUnit val="5"/>
      </c:valAx>
      <c:valAx>
        <c:axId val="72144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469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(All)'!$U$7:$U$107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(All)'!$U$7:$U$107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73456"/>
        <c:axId val="622172896"/>
      </c:scatterChart>
      <c:valAx>
        <c:axId val="6221734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72896"/>
        <c:crosses val="autoZero"/>
        <c:crossBetween val="midCat"/>
        <c:majorUnit val="5"/>
      </c:valAx>
      <c:valAx>
        <c:axId val="62217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734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Bahrain,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(All)'!$CN$7:$CN$107</c:f>
              <c:numCache>
                <c:formatCode>0.0000</c:formatCode>
                <c:ptCount val="101"/>
                <c:pt idx="56">
                  <c:v>8.8595102040816336</c:v>
                </c:pt>
                <c:pt idx="57">
                  <c:v>11.623164179104478</c:v>
                </c:pt>
                <c:pt idx="58">
                  <c:v>8.7482947368421051</c:v>
                </c:pt>
                <c:pt idx="61">
                  <c:v>7.9998278632086297</c:v>
                </c:pt>
                <c:pt idx="62">
                  <c:v>7.9997294966947869</c:v>
                </c:pt>
                <c:pt idx="63">
                  <c:v>8.8888675408681177</c:v>
                </c:pt>
                <c:pt idx="64">
                  <c:v>8.3333385650294609</c:v>
                </c:pt>
                <c:pt idx="65">
                  <c:v>9.7778315767658057</c:v>
                </c:pt>
                <c:pt idx="66">
                  <c:v>12.333338542724823</c:v>
                </c:pt>
                <c:pt idx="67">
                  <c:v>14.673561100351616</c:v>
                </c:pt>
                <c:pt idx="68">
                  <c:v>20.168544925852192</c:v>
                </c:pt>
                <c:pt idx="69">
                  <c:v>11.666666666666668</c:v>
                </c:pt>
                <c:pt idx="70">
                  <c:v>9.1110879673179781</c:v>
                </c:pt>
                <c:pt idx="71">
                  <c:v>9.7902429389689907</c:v>
                </c:pt>
                <c:pt idx="72">
                  <c:v>10.141817551762973</c:v>
                </c:pt>
                <c:pt idx="73">
                  <c:v>10.467568138601312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(All)'!$CN$7:$CN$107</c:f>
              <c:numCache>
                <c:formatCode>0.0000</c:formatCode>
                <c:ptCount val="101"/>
                <c:pt idx="56">
                  <c:v>8.8595102040816336</c:v>
                </c:pt>
                <c:pt idx="57">
                  <c:v>11.623164179104478</c:v>
                </c:pt>
                <c:pt idx="58">
                  <c:v>8.7482947368421051</c:v>
                </c:pt>
                <c:pt idx="61">
                  <c:v>7.9998278632086297</c:v>
                </c:pt>
                <c:pt idx="62">
                  <c:v>7.9997294966947869</c:v>
                </c:pt>
                <c:pt idx="63">
                  <c:v>8.8888675408681177</c:v>
                </c:pt>
                <c:pt idx="64">
                  <c:v>8.3333385650294609</c:v>
                </c:pt>
                <c:pt idx="65">
                  <c:v>9.7778315767658057</c:v>
                </c:pt>
                <c:pt idx="66">
                  <c:v>12.333338542724823</c:v>
                </c:pt>
                <c:pt idx="67">
                  <c:v>14.673561100351616</c:v>
                </c:pt>
                <c:pt idx="68">
                  <c:v>20.168544925852192</c:v>
                </c:pt>
                <c:pt idx="69">
                  <c:v>11.666666666666668</c:v>
                </c:pt>
                <c:pt idx="70">
                  <c:v>9.1110879673179781</c:v>
                </c:pt>
                <c:pt idx="71">
                  <c:v>9.7902429389689907</c:v>
                </c:pt>
                <c:pt idx="72">
                  <c:v>10.141817551762973</c:v>
                </c:pt>
                <c:pt idx="73">
                  <c:v>10.467568138601312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443056"/>
        <c:axId val="721443616"/>
      </c:scatterChart>
      <c:valAx>
        <c:axId val="7214430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43616"/>
        <c:crosses val="autoZero"/>
        <c:crossBetween val="midCat"/>
        <c:majorUnit val="5"/>
      </c:valAx>
      <c:valAx>
        <c:axId val="72144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430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Bahrain,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(All)'!$CO$7:$CO$107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(All)'!$CO$7:$CO$107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439136"/>
        <c:axId val="721439696"/>
      </c:scatterChart>
      <c:valAx>
        <c:axId val="7214391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39696"/>
        <c:crosses val="autoZero"/>
        <c:crossBetween val="midCat"/>
        <c:majorUnit val="5"/>
      </c:valAx>
      <c:valAx>
        <c:axId val="72143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391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Bahrain,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(All)'!$CP$7:$CP$107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(All)'!$CP$7:$CP$107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435776"/>
        <c:axId val="721436336"/>
      </c:scatterChart>
      <c:valAx>
        <c:axId val="7214357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36336"/>
        <c:crosses val="autoZero"/>
        <c:crossBetween val="midCat"/>
        <c:majorUnit val="5"/>
      </c:valAx>
      <c:valAx>
        <c:axId val="72143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357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Muscat,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(All)'!$CQ$7:$CQ$107</c:f>
              <c:numCache>
                <c:formatCode>0.0000</c:formatCode>
                <c:ptCount val="101"/>
                <c:pt idx="34">
                  <c:v>11.65457332773846</c:v>
                </c:pt>
                <c:pt idx="35">
                  <c:v>9.8745878269952208</c:v>
                </c:pt>
                <c:pt idx="36">
                  <c:v>9.5305833164354006</c:v>
                </c:pt>
                <c:pt idx="37">
                  <c:v>11.141127683149382</c:v>
                </c:pt>
                <c:pt idx="38">
                  <c:v>11.62507962196112</c:v>
                </c:pt>
                <c:pt idx="39">
                  <c:v>10.39765027258078</c:v>
                </c:pt>
                <c:pt idx="40">
                  <c:v>8.2612386382281606</c:v>
                </c:pt>
                <c:pt idx="41">
                  <c:v>6.2103417605768394</c:v>
                </c:pt>
                <c:pt idx="42">
                  <c:v>7.1733731965018199</c:v>
                </c:pt>
                <c:pt idx="43">
                  <c:v>13.98493005447834</c:v>
                </c:pt>
                <c:pt idx="44">
                  <c:v>10.877768382583799</c:v>
                </c:pt>
                <c:pt idx="45">
                  <c:v>8.8044672720807799</c:v>
                </c:pt>
                <c:pt idx="46">
                  <c:v>7.6091931870859399</c:v>
                </c:pt>
                <c:pt idx="47">
                  <c:v>7.1303755519334402</c:v>
                </c:pt>
                <c:pt idx="48">
                  <c:v>6.9147762543710201</c:v>
                </c:pt>
                <c:pt idx="49">
                  <c:v>8.4689653801194194</c:v>
                </c:pt>
                <c:pt idx="50">
                  <c:v>9.2909464766590393</c:v>
                </c:pt>
                <c:pt idx="51">
                  <c:v>8.732066971983599</c:v>
                </c:pt>
                <c:pt idx="52">
                  <c:v>8.5830431744376607</c:v>
                </c:pt>
                <c:pt idx="53">
                  <c:v>7.7737239113500802</c:v>
                </c:pt>
                <c:pt idx="54">
                  <c:v>6.0999359975096601</c:v>
                </c:pt>
                <c:pt idx="55">
                  <c:v>6.2843833062896408</c:v>
                </c:pt>
                <c:pt idx="56">
                  <c:v>6.4896824690758006</c:v>
                </c:pt>
                <c:pt idx="57">
                  <c:v>8.4883682462058587</c:v>
                </c:pt>
                <c:pt idx="58">
                  <c:v>8.2129293582167389</c:v>
                </c:pt>
                <c:pt idx="59">
                  <c:v>8.3653735226384001</c:v>
                </c:pt>
                <c:pt idx="60">
                  <c:v>7.6468003735446999</c:v>
                </c:pt>
                <c:pt idx="61">
                  <c:v>8.6502093592495992</c:v>
                </c:pt>
                <c:pt idx="62">
                  <c:v>8.4346865857014599</c:v>
                </c:pt>
                <c:pt idx="63">
                  <c:v>9.3905605283740403</c:v>
                </c:pt>
                <c:pt idx="64">
                  <c:v>7.1564066075722002</c:v>
                </c:pt>
                <c:pt idx="65">
                  <c:v>7</c:v>
                </c:pt>
                <c:pt idx="66">
                  <c:v>8</c:v>
                </c:pt>
                <c:pt idx="67">
                  <c:v>9.166666666666659</c:v>
                </c:pt>
                <c:pt idx="68">
                  <c:v>9</c:v>
                </c:pt>
                <c:pt idx="69">
                  <c:v>9.1</c:v>
                </c:pt>
                <c:pt idx="70">
                  <c:v>10.122095671981779</c:v>
                </c:pt>
                <c:pt idx="71">
                  <c:v>11.107645722937161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(All)'!$CQ$7:$CQ$107</c:f>
              <c:numCache>
                <c:formatCode>0.0000</c:formatCode>
                <c:ptCount val="101"/>
                <c:pt idx="34">
                  <c:v>11.65457332773846</c:v>
                </c:pt>
                <c:pt idx="35">
                  <c:v>9.8745878269952208</c:v>
                </c:pt>
                <c:pt idx="36">
                  <c:v>9.5305833164354006</c:v>
                </c:pt>
                <c:pt idx="37">
                  <c:v>11.141127683149382</c:v>
                </c:pt>
                <c:pt idx="38">
                  <c:v>11.62507962196112</c:v>
                </c:pt>
                <c:pt idx="39">
                  <c:v>10.39765027258078</c:v>
                </c:pt>
                <c:pt idx="40">
                  <c:v>8.2612386382281606</c:v>
                </c:pt>
                <c:pt idx="41">
                  <c:v>6.2103417605768394</c:v>
                </c:pt>
                <c:pt idx="42">
                  <c:v>7.1733731965018199</c:v>
                </c:pt>
                <c:pt idx="43">
                  <c:v>13.98493005447834</c:v>
                </c:pt>
                <c:pt idx="44">
                  <c:v>10.877768382583799</c:v>
                </c:pt>
                <c:pt idx="45">
                  <c:v>8.8044672720807799</c:v>
                </c:pt>
                <c:pt idx="46">
                  <c:v>7.6091931870859399</c:v>
                </c:pt>
                <c:pt idx="47">
                  <c:v>7.1303755519334402</c:v>
                </c:pt>
                <c:pt idx="48">
                  <c:v>6.9147762543710201</c:v>
                </c:pt>
                <c:pt idx="49">
                  <c:v>8.4689653801194194</c:v>
                </c:pt>
                <c:pt idx="50">
                  <c:v>9.2909464766590393</c:v>
                </c:pt>
                <c:pt idx="51">
                  <c:v>8.732066971983599</c:v>
                </c:pt>
                <c:pt idx="52">
                  <c:v>8.5830431744376607</c:v>
                </c:pt>
                <c:pt idx="53">
                  <c:v>7.7737239113500802</c:v>
                </c:pt>
                <c:pt idx="54">
                  <c:v>6.0999359975096601</c:v>
                </c:pt>
                <c:pt idx="55">
                  <c:v>6.2843833062896408</c:v>
                </c:pt>
                <c:pt idx="56">
                  <c:v>6.4896824690758006</c:v>
                </c:pt>
                <c:pt idx="57">
                  <c:v>8.4883682462058587</c:v>
                </c:pt>
                <c:pt idx="58">
                  <c:v>8.2129293582167389</c:v>
                </c:pt>
                <c:pt idx="59">
                  <c:v>8.3653735226384001</c:v>
                </c:pt>
                <c:pt idx="60">
                  <c:v>7.6468003735446999</c:v>
                </c:pt>
                <c:pt idx="61">
                  <c:v>8.6502093592495992</c:v>
                </c:pt>
                <c:pt idx="62">
                  <c:v>8.4346865857014599</c:v>
                </c:pt>
                <c:pt idx="63">
                  <c:v>9.3905605283740403</c:v>
                </c:pt>
                <c:pt idx="64">
                  <c:v>7.1564066075722002</c:v>
                </c:pt>
                <c:pt idx="65">
                  <c:v>7</c:v>
                </c:pt>
                <c:pt idx="66">
                  <c:v>8</c:v>
                </c:pt>
                <c:pt idx="67">
                  <c:v>9.166666666666659</c:v>
                </c:pt>
                <c:pt idx="68">
                  <c:v>9</c:v>
                </c:pt>
                <c:pt idx="69">
                  <c:v>9.1</c:v>
                </c:pt>
                <c:pt idx="70">
                  <c:v>10.122095671981779</c:v>
                </c:pt>
                <c:pt idx="71">
                  <c:v>11.107645722937161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430736"/>
        <c:axId val="721438016"/>
      </c:scatterChart>
      <c:valAx>
        <c:axId val="7214307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38016"/>
        <c:crosses val="autoZero"/>
        <c:crossBetween val="midCat"/>
        <c:majorUnit val="5"/>
      </c:valAx>
      <c:valAx>
        <c:axId val="72143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307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Muscat,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(All)'!$CR$7:$CR$107</c:f>
              <c:numCache>
                <c:formatCode>0.0000</c:formatCode>
                <c:ptCount val="101"/>
                <c:pt idx="39">
                  <c:v>6.8123248612692198</c:v>
                </c:pt>
                <c:pt idx="40">
                  <c:v>8.2602152795882606</c:v>
                </c:pt>
                <c:pt idx="41">
                  <c:v>7.0039624431505398</c:v>
                </c:pt>
                <c:pt idx="42">
                  <c:v>6.2182162870265802</c:v>
                </c:pt>
                <c:pt idx="43">
                  <c:v>7.7609016139056397</c:v>
                </c:pt>
                <c:pt idx="44">
                  <c:v>8.2319848787694401</c:v>
                </c:pt>
                <c:pt idx="45">
                  <c:v>8.77400857449088</c:v>
                </c:pt>
                <c:pt idx="46">
                  <c:v>7.6857266229251797</c:v>
                </c:pt>
                <c:pt idx="47">
                  <c:v>7.5692762195475201</c:v>
                </c:pt>
                <c:pt idx="48">
                  <c:v>6.9717797862170805</c:v>
                </c:pt>
                <c:pt idx="49">
                  <c:v>7.7125455037030601</c:v>
                </c:pt>
                <c:pt idx="50">
                  <c:v>8.3875657543932007</c:v>
                </c:pt>
                <c:pt idx="51">
                  <c:v>9.1593535456678605</c:v>
                </c:pt>
                <c:pt idx="52">
                  <c:v>8.97726746038642</c:v>
                </c:pt>
                <c:pt idx="53">
                  <c:v>8.1077711151666207</c:v>
                </c:pt>
                <c:pt idx="54">
                  <c:v>7.3195783243050201</c:v>
                </c:pt>
                <c:pt idx="70">
                  <c:v>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(All)'!$CR$7:$CR$107</c:f>
              <c:numCache>
                <c:formatCode>0.0000</c:formatCode>
                <c:ptCount val="101"/>
                <c:pt idx="39">
                  <c:v>6.8123248612692198</c:v>
                </c:pt>
                <c:pt idx="40">
                  <c:v>8.2602152795882606</c:v>
                </c:pt>
                <c:pt idx="41">
                  <c:v>7.0039624431505398</c:v>
                </c:pt>
                <c:pt idx="42">
                  <c:v>6.2182162870265802</c:v>
                </c:pt>
                <c:pt idx="43">
                  <c:v>7.7609016139056397</c:v>
                </c:pt>
                <c:pt idx="44">
                  <c:v>8.2319848787694401</c:v>
                </c:pt>
                <c:pt idx="45">
                  <c:v>8.77400857449088</c:v>
                </c:pt>
                <c:pt idx="46">
                  <c:v>7.6857266229251797</c:v>
                </c:pt>
                <c:pt idx="47">
                  <c:v>7.5692762195475201</c:v>
                </c:pt>
                <c:pt idx="48">
                  <c:v>6.9717797862170805</c:v>
                </c:pt>
                <c:pt idx="49">
                  <c:v>7.7125455037030601</c:v>
                </c:pt>
                <c:pt idx="50">
                  <c:v>8.3875657543932007</c:v>
                </c:pt>
                <c:pt idx="51">
                  <c:v>9.1593535456678605</c:v>
                </c:pt>
                <c:pt idx="52">
                  <c:v>8.97726746038642</c:v>
                </c:pt>
                <c:pt idx="53">
                  <c:v>8.1077711151666207</c:v>
                </c:pt>
                <c:pt idx="54">
                  <c:v>7.3195783243050201</c:v>
                </c:pt>
                <c:pt idx="70">
                  <c:v>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358496"/>
        <c:axId val="721383136"/>
      </c:scatterChart>
      <c:valAx>
        <c:axId val="7213584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83136"/>
        <c:crosses val="autoZero"/>
        <c:crossBetween val="midCat"/>
        <c:majorUnit val="5"/>
      </c:valAx>
      <c:valAx>
        <c:axId val="72138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584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Muscat,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(All)'!$CS$7:$CS$107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(All)'!$CS$7:$CS$107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419536"/>
        <c:axId val="721380896"/>
      </c:scatterChart>
      <c:valAx>
        <c:axId val="7214195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80896"/>
        <c:crosses val="autoZero"/>
        <c:crossBetween val="midCat"/>
        <c:majorUnit val="5"/>
      </c:valAx>
      <c:valAx>
        <c:axId val="72138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195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Mohammerah,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(All)'!$CT$7:$CT$107</c:f>
              <c:numCache>
                <c:formatCode>0.0000</c:formatCode>
                <c:ptCount val="101"/>
                <c:pt idx="50">
                  <c:v>5.9760683760683797</c:v>
                </c:pt>
                <c:pt idx="51">
                  <c:v>6.8736280965819994</c:v>
                </c:pt>
                <c:pt idx="52">
                  <c:v>10</c:v>
                </c:pt>
                <c:pt idx="53">
                  <c:v>6.6666666666666599</c:v>
                </c:pt>
                <c:pt idx="54">
                  <c:v>5.3303637713437197</c:v>
                </c:pt>
                <c:pt idx="55">
                  <c:v>5.0466321243523407</c:v>
                </c:pt>
                <c:pt idx="56">
                  <c:v>12.54861183321202</c:v>
                </c:pt>
                <c:pt idx="57">
                  <c:v>10.063752276867039</c:v>
                </c:pt>
                <c:pt idx="58">
                  <c:v>7.3509490137699993</c:v>
                </c:pt>
                <c:pt idx="59">
                  <c:v>7.7395136282030395</c:v>
                </c:pt>
                <c:pt idx="60">
                  <c:v>5.2297734627831804</c:v>
                </c:pt>
                <c:pt idx="61">
                  <c:v>6.94603903559128</c:v>
                </c:pt>
                <c:pt idx="62">
                  <c:v>7.6464323748668805</c:v>
                </c:pt>
                <c:pt idx="66">
                  <c:v>11.14818449460256</c:v>
                </c:pt>
                <c:pt idx="67">
                  <c:v>13.54736172917992</c:v>
                </c:pt>
                <c:pt idx="68">
                  <c:v>10.058018101647722</c:v>
                </c:pt>
                <c:pt idx="69">
                  <c:v>11.87147082549072</c:v>
                </c:pt>
                <c:pt idx="70">
                  <c:v>10.95896328293736</c:v>
                </c:pt>
                <c:pt idx="71">
                  <c:v>7.1235955056179803</c:v>
                </c:pt>
                <c:pt idx="72">
                  <c:v>11.915760869565219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(All)'!$CT$7:$CT$107</c:f>
              <c:numCache>
                <c:formatCode>0.0000</c:formatCode>
                <c:ptCount val="101"/>
                <c:pt idx="50">
                  <c:v>5.9760683760683797</c:v>
                </c:pt>
                <c:pt idx="51">
                  <c:v>6.8736280965819994</c:v>
                </c:pt>
                <c:pt idx="52">
                  <c:v>10</c:v>
                </c:pt>
                <c:pt idx="53">
                  <c:v>6.6666666666666599</c:v>
                </c:pt>
                <c:pt idx="54">
                  <c:v>5.3303637713437197</c:v>
                </c:pt>
                <c:pt idx="55">
                  <c:v>5.0466321243523407</c:v>
                </c:pt>
                <c:pt idx="56">
                  <c:v>12.54861183321202</c:v>
                </c:pt>
                <c:pt idx="57">
                  <c:v>10.063752276867039</c:v>
                </c:pt>
                <c:pt idx="58">
                  <c:v>7.3509490137699993</c:v>
                </c:pt>
                <c:pt idx="59">
                  <c:v>7.7395136282030395</c:v>
                </c:pt>
                <c:pt idx="60">
                  <c:v>5.2297734627831804</c:v>
                </c:pt>
                <c:pt idx="61">
                  <c:v>6.94603903559128</c:v>
                </c:pt>
                <c:pt idx="62">
                  <c:v>7.6464323748668805</c:v>
                </c:pt>
                <c:pt idx="66">
                  <c:v>11.14818449460256</c:v>
                </c:pt>
                <c:pt idx="67">
                  <c:v>13.54736172917992</c:v>
                </c:pt>
                <c:pt idx="68">
                  <c:v>10.058018101647722</c:v>
                </c:pt>
                <c:pt idx="69">
                  <c:v>11.87147082549072</c:v>
                </c:pt>
                <c:pt idx="70">
                  <c:v>10.95896328293736</c:v>
                </c:pt>
                <c:pt idx="71">
                  <c:v>7.1235955056179803</c:v>
                </c:pt>
                <c:pt idx="72">
                  <c:v>11.915760869565219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384816"/>
        <c:axId val="721383696"/>
      </c:scatterChart>
      <c:valAx>
        <c:axId val="7213848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83696"/>
        <c:crosses val="autoZero"/>
        <c:crossBetween val="midCat"/>
        <c:majorUnit val="5"/>
      </c:valAx>
      <c:valAx>
        <c:axId val="72138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848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Mohammerah,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(All)'!$CU$7:$CU$107</c:f>
              <c:numCache>
                <c:formatCode>0.0000</c:formatCode>
                <c:ptCount val="101"/>
                <c:pt idx="51">
                  <c:v>6.6225165562913997</c:v>
                </c:pt>
                <c:pt idx="52">
                  <c:v>6.6666666666666599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(All)'!$CU$7:$CU$107</c:f>
              <c:numCache>
                <c:formatCode>0.0000</c:formatCode>
                <c:ptCount val="101"/>
                <c:pt idx="51">
                  <c:v>6.6225165562913997</c:v>
                </c:pt>
                <c:pt idx="52">
                  <c:v>6.6666666666666599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416176"/>
        <c:axId val="721416736"/>
      </c:scatterChart>
      <c:valAx>
        <c:axId val="7214161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16736"/>
        <c:crosses val="autoZero"/>
        <c:crossBetween val="midCat"/>
        <c:majorUnit val="5"/>
      </c:valAx>
      <c:valAx>
        <c:axId val="72141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161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Mohammerah,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(All)'!$CV$7:$CV$107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(All)'!$CV$7:$CV$107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412816"/>
        <c:axId val="721413376"/>
      </c:scatterChart>
      <c:valAx>
        <c:axId val="7214128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13376"/>
        <c:crosses val="autoZero"/>
        <c:crossBetween val="midCat"/>
        <c:majorUnit val="5"/>
      </c:valAx>
      <c:valAx>
        <c:axId val="72141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128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Lingah,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(All)'!$CW$7:$CW$107</c:f>
              <c:numCache>
                <c:formatCode>0.0000</c:formatCode>
                <c:ptCount val="101"/>
                <c:pt idx="56">
                  <c:v>7.8431666666666597</c:v>
                </c:pt>
                <c:pt idx="57">
                  <c:v>10.833333333333339</c:v>
                </c:pt>
                <c:pt idx="58">
                  <c:v>7.5</c:v>
                </c:pt>
                <c:pt idx="59">
                  <c:v>8</c:v>
                </c:pt>
                <c:pt idx="66">
                  <c:v>9.7680551798755797</c:v>
                </c:pt>
                <c:pt idx="67">
                  <c:v>11.62276004854716</c:v>
                </c:pt>
                <c:pt idx="68">
                  <c:v>11.74997207293308</c:v>
                </c:pt>
                <c:pt idx="69">
                  <c:v>6.6531827166948796</c:v>
                </c:pt>
                <c:pt idx="70">
                  <c:v>10.772308825334481</c:v>
                </c:pt>
                <c:pt idx="71">
                  <c:v>10.5149856175188</c:v>
                </c:pt>
                <c:pt idx="72">
                  <c:v>12.9020545111918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(All)'!$CW$7:$CW$107</c:f>
              <c:numCache>
                <c:formatCode>0.0000</c:formatCode>
                <c:ptCount val="101"/>
                <c:pt idx="56">
                  <c:v>7.8431666666666597</c:v>
                </c:pt>
                <c:pt idx="57">
                  <c:v>10.833333333333339</c:v>
                </c:pt>
                <c:pt idx="58">
                  <c:v>7.5</c:v>
                </c:pt>
                <c:pt idx="59">
                  <c:v>8</c:v>
                </c:pt>
                <c:pt idx="66">
                  <c:v>9.7680551798755797</c:v>
                </c:pt>
                <c:pt idx="67">
                  <c:v>11.62276004854716</c:v>
                </c:pt>
                <c:pt idx="68">
                  <c:v>11.74997207293308</c:v>
                </c:pt>
                <c:pt idx="69">
                  <c:v>6.6531827166948796</c:v>
                </c:pt>
                <c:pt idx="70">
                  <c:v>10.772308825334481</c:v>
                </c:pt>
                <c:pt idx="71">
                  <c:v>10.5149856175188</c:v>
                </c:pt>
                <c:pt idx="72">
                  <c:v>12.9020545111918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393216"/>
        <c:axId val="721460976"/>
      </c:scatterChart>
      <c:valAx>
        <c:axId val="72139321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60976"/>
        <c:crosses val="autoZero"/>
        <c:crossBetween val="midCat"/>
        <c:majorUnit val="5"/>
      </c:valAx>
      <c:valAx>
        <c:axId val="72146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9321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(All)'!$F$7:$F$107</c:f>
              <c:numCache>
                <c:formatCode>0.0000</c:formatCode>
                <c:ptCount val="101"/>
                <c:pt idx="26" formatCode="_(* #,##0.0000_);_(* \(#,##0.0000\);_(* &quot;-&quot;??_);_(@_)">
                  <c:v>10.944396886393285</c:v>
                </c:pt>
                <c:pt idx="27" formatCode="_(* #,##0.0000_);_(* \(#,##0.0000\);_(* &quot;-&quot;??_);_(@_)">
                  <c:v>17.68840971830986</c:v>
                </c:pt>
                <c:pt idx="28" formatCode="_(* #,##0.0000_);_(* \(#,##0.0000\);_(* &quot;-&quot;??_);_(@_)">
                  <c:v>7.5591430174850238</c:v>
                </c:pt>
                <c:pt idx="29" formatCode="_(* #,##0.0000_);_(* \(#,##0.0000\);_(* &quot;-&quot;??_);_(@_)">
                  <c:v>8.1967524419027527</c:v>
                </c:pt>
                <c:pt idx="30" formatCode="_(* #,##0.0000_);_(* \(#,##0.0000\);_(* &quot;-&quot;??_);_(@_)">
                  <c:v>11.278023563498831</c:v>
                </c:pt>
                <c:pt idx="37" formatCode="_(* #,##0.0000_);_(* \(#,##0.0000\);_(* &quot;-&quot;??_);_(@_)">
                  <c:v>10.173391260756057</c:v>
                </c:pt>
                <c:pt idx="57" formatCode="_(* #,##0.0000_);_(* \(#,##0.0000\);_(* &quot;-&quot;??_);_(@_)">
                  <c:v>11.592091571279925</c:v>
                </c:pt>
                <c:pt idx="62" formatCode="_(* #,##0.0000_);_(* \(#,##0.0000\);_(* &quot;-&quot;??_);_(@_)">
                  <c:v>27.654320987654366</c:v>
                </c:pt>
                <c:pt idx="67" formatCode="_(* #,##0.0000_);_(* \(#,##0.0000\);_(* &quot;-&quot;??_);_(@_)">
                  <c:v>13.333333333333329</c:v>
                </c:pt>
                <c:pt idx="68" formatCode="_(* #,##0.0000_);_(* \(#,##0.0000\);_(* &quot;-&quot;??_);_(@_)">
                  <c:v>13.333333333333329</c:v>
                </c:pt>
                <c:pt idx="69" formatCode="_(* #,##0.0000_);_(* \(#,##0.0000\);_(* &quot;-&quot;??_);_(@_)">
                  <c:v>14.545454545454536</c:v>
                </c:pt>
                <c:pt idx="70" formatCode="_(* #,##0.0000_);_(* \(#,##0.0000\);_(* &quot;-&quot;??_);_(@_)">
                  <c:v>13.373253493013973</c:v>
                </c:pt>
                <c:pt idx="71" formatCode="_(* #,##0.0000_);_(* \(#,##0.0000\);_(* &quot;-&quot;??_);_(@_)">
                  <c:v>12.266666666666675</c:v>
                </c:pt>
                <c:pt idx="72" formatCode="_(* #,##0.0000_);_(* \(#,##0.0000\);_(* &quot;-&quot;??_);_(@_)">
                  <c:v>20.189125295508266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(All)'!$F$7:$F$107</c:f>
              <c:numCache>
                <c:formatCode>0.0000</c:formatCode>
                <c:ptCount val="101"/>
                <c:pt idx="26" formatCode="_(* #,##0.0000_);_(* \(#,##0.0000\);_(* &quot;-&quot;??_);_(@_)">
                  <c:v>10.944396886393285</c:v>
                </c:pt>
                <c:pt idx="27" formatCode="_(* #,##0.0000_);_(* \(#,##0.0000\);_(* &quot;-&quot;??_);_(@_)">
                  <c:v>17.68840971830986</c:v>
                </c:pt>
                <c:pt idx="28" formatCode="_(* #,##0.0000_);_(* \(#,##0.0000\);_(* &quot;-&quot;??_);_(@_)">
                  <c:v>7.5591430174850238</c:v>
                </c:pt>
                <c:pt idx="29" formatCode="_(* #,##0.0000_);_(* \(#,##0.0000\);_(* &quot;-&quot;??_);_(@_)">
                  <c:v>8.1967524419027527</c:v>
                </c:pt>
                <c:pt idx="30" formatCode="_(* #,##0.0000_);_(* \(#,##0.0000\);_(* &quot;-&quot;??_);_(@_)">
                  <c:v>11.278023563498831</c:v>
                </c:pt>
                <c:pt idx="37" formatCode="_(* #,##0.0000_);_(* \(#,##0.0000\);_(* &quot;-&quot;??_);_(@_)">
                  <c:v>10.173391260756057</c:v>
                </c:pt>
                <c:pt idx="57" formatCode="_(* #,##0.0000_);_(* \(#,##0.0000\);_(* &quot;-&quot;??_);_(@_)">
                  <c:v>11.592091571279925</c:v>
                </c:pt>
                <c:pt idx="62" formatCode="_(* #,##0.0000_);_(* \(#,##0.0000\);_(* &quot;-&quot;??_);_(@_)">
                  <c:v>27.654320987654366</c:v>
                </c:pt>
                <c:pt idx="67" formatCode="_(* #,##0.0000_);_(* \(#,##0.0000\);_(* &quot;-&quot;??_);_(@_)">
                  <c:v>13.333333333333329</c:v>
                </c:pt>
                <c:pt idx="68" formatCode="_(* #,##0.0000_);_(* \(#,##0.0000\);_(* &quot;-&quot;??_);_(@_)">
                  <c:v>13.333333333333329</c:v>
                </c:pt>
                <c:pt idx="69" formatCode="_(* #,##0.0000_);_(* \(#,##0.0000\);_(* &quot;-&quot;??_);_(@_)">
                  <c:v>14.545454545454536</c:v>
                </c:pt>
                <c:pt idx="70" formatCode="_(* #,##0.0000_);_(* \(#,##0.0000\);_(* &quot;-&quot;??_);_(@_)">
                  <c:v>13.373253493013973</c:v>
                </c:pt>
                <c:pt idx="71" formatCode="_(* #,##0.0000_);_(* \(#,##0.0000\);_(* &quot;-&quot;??_);_(@_)">
                  <c:v>12.266666666666675</c:v>
                </c:pt>
                <c:pt idx="72" formatCode="_(* #,##0.0000_);_(* \(#,##0.0000\);_(* &quot;-&quot;??_);_(@_)">
                  <c:v>20.189125295508266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170096"/>
        <c:axId val="622167856"/>
      </c:scatterChart>
      <c:valAx>
        <c:axId val="6221700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67856"/>
        <c:crosses val="autoZero"/>
        <c:crossBetween val="midCat"/>
        <c:majorUnit val="5"/>
      </c:valAx>
      <c:valAx>
        <c:axId val="62216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1700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Lingah,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(All)'!$CX$7:$CX$107</c:f>
              <c:numCache>
                <c:formatCode>0.0000</c:formatCode>
                <c:ptCount val="101"/>
                <c:pt idx="56">
                  <c:v>6.9884757039325196</c:v>
                </c:pt>
                <c:pt idx="57">
                  <c:v>10.83346405228758</c:v>
                </c:pt>
                <c:pt idx="58">
                  <c:v>7.5</c:v>
                </c:pt>
                <c:pt idx="59">
                  <c:v>8</c:v>
                </c:pt>
                <c:pt idx="69">
                  <c:v>12.877307274701419</c:v>
                </c:pt>
                <c:pt idx="70">
                  <c:v>8.9367253750815401</c:v>
                </c:pt>
                <c:pt idx="71">
                  <c:v>11.6858761476851</c:v>
                </c:pt>
                <c:pt idx="72">
                  <c:v>10.470490440565261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(All)'!$CX$7:$CX$107</c:f>
              <c:numCache>
                <c:formatCode>0.0000</c:formatCode>
                <c:ptCount val="101"/>
                <c:pt idx="56">
                  <c:v>6.9884757039325196</c:v>
                </c:pt>
                <c:pt idx="57">
                  <c:v>10.83346405228758</c:v>
                </c:pt>
                <c:pt idx="58">
                  <c:v>7.5</c:v>
                </c:pt>
                <c:pt idx="59">
                  <c:v>8</c:v>
                </c:pt>
                <c:pt idx="69">
                  <c:v>12.877307274701419</c:v>
                </c:pt>
                <c:pt idx="70">
                  <c:v>8.9367253750815401</c:v>
                </c:pt>
                <c:pt idx="71">
                  <c:v>11.6858761476851</c:v>
                </c:pt>
                <c:pt idx="72">
                  <c:v>10.470490440565261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400496"/>
        <c:axId val="721397136"/>
      </c:scatterChart>
      <c:valAx>
        <c:axId val="7214004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97136"/>
        <c:crosses val="autoZero"/>
        <c:crossBetween val="midCat"/>
        <c:majorUnit val="5"/>
      </c:valAx>
      <c:valAx>
        <c:axId val="72139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004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Lingah,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(All)'!$CY$7:$CY$107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(All)'!$CY$7:$CY$107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429056"/>
        <c:axId val="721426816"/>
      </c:scatterChart>
      <c:valAx>
        <c:axId val="7214290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26816"/>
        <c:crosses val="autoZero"/>
        <c:crossBetween val="midCat"/>
        <c:majorUnit val="5"/>
      </c:valAx>
      <c:valAx>
        <c:axId val="72142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290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Shiraz,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(All)'!$CZ$7:$CZ$107</c:f>
              <c:numCache>
                <c:formatCode>General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(All)'!$CZ$7:$CZ$107</c:f>
              <c:numCache>
                <c:formatCode>General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399936"/>
        <c:axId val="721403856"/>
      </c:scatterChart>
      <c:valAx>
        <c:axId val="7213999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03856"/>
        <c:crosses val="autoZero"/>
        <c:crossBetween val="midCat"/>
        <c:majorUnit val="5"/>
      </c:valAx>
      <c:valAx>
        <c:axId val="72140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999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Shiraz, Exports,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(All)'!$DA$7:$DA$107</c:f>
              <c:numCache>
                <c:formatCode>General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(All)'!$DA$7:$DA$107</c:f>
              <c:numCache>
                <c:formatCode>General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415056"/>
        <c:axId val="721398256"/>
      </c:scatterChart>
      <c:valAx>
        <c:axId val="7214150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98256"/>
        <c:crosses val="autoZero"/>
        <c:crossBetween val="midCat"/>
        <c:majorUnit val="5"/>
      </c:valAx>
      <c:valAx>
        <c:axId val="72139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150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Shiraz, Bazaar (Local), in pound/ton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(All)'!$DB$7:$DB$107</c:f>
              <c:numCache>
                <c:formatCode>General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(All)'!$DB$7:$DB$107</c:f>
              <c:numCache>
                <c:formatCode>General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399376"/>
        <c:axId val="721387056"/>
      </c:scatterChart>
      <c:valAx>
        <c:axId val="7213993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87056"/>
        <c:crosses val="autoZero"/>
        <c:crossBetween val="midCat"/>
        <c:majorUnit val="5"/>
      </c:valAx>
      <c:valAx>
        <c:axId val="72138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993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(All)'!$O$7:$O$107</c:f>
              <c:numCache>
                <c:formatCode>0.0000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(All)'!$O$7:$O$107</c:f>
              <c:numCache>
                <c:formatCode>0.0000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406656"/>
        <c:axId val="721394896"/>
      </c:scatterChart>
      <c:valAx>
        <c:axId val="7214066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94896"/>
        <c:crosses val="autoZero"/>
        <c:crossBetween val="midCat"/>
        <c:majorUnit val="5"/>
      </c:valAx>
      <c:valAx>
        <c:axId val="72139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4066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Bazaar (Local),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65260807916258E-2"/>
          <c:y val="1.8024038777882567E-2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(All)'!$Q$7:$Q$107</c:f>
              <c:numCache>
                <c:formatCode>0.0000</c:formatCode>
                <c:ptCount val="101"/>
                <c:pt idx="45">
                  <c:v>13.018578750246402</c:v>
                </c:pt>
                <c:pt idx="46">
                  <c:v>11.550839591155611</c:v>
                </c:pt>
                <c:pt idx="47">
                  <c:v>13.003887297039158</c:v>
                </c:pt>
                <c:pt idx="48">
                  <c:v>12.291377983063894</c:v>
                </c:pt>
                <c:pt idx="49">
                  <c:v>13.280542000697107</c:v>
                </c:pt>
                <c:pt idx="50">
                  <c:v>9.8430276981852902</c:v>
                </c:pt>
                <c:pt idx="51">
                  <c:v>11.387858032378579</c:v>
                </c:pt>
                <c:pt idx="52">
                  <c:v>11.546980506014101</c:v>
                </c:pt>
                <c:pt idx="53">
                  <c:v>11.719699831365936</c:v>
                </c:pt>
                <c:pt idx="54">
                  <c:v>10.618419333768779</c:v>
                </c:pt>
                <c:pt idx="55">
                  <c:v>9.7869037695656189</c:v>
                </c:pt>
                <c:pt idx="56">
                  <c:v>9.5970060658578848</c:v>
                </c:pt>
                <c:pt idx="57">
                  <c:v>9.5046772684752092</c:v>
                </c:pt>
                <c:pt idx="58">
                  <c:v>11.295719844357977</c:v>
                </c:pt>
                <c:pt idx="59">
                  <c:v>11.542275235313209</c:v>
                </c:pt>
                <c:pt idx="60">
                  <c:v>11.504891857506362</c:v>
                </c:pt>
                <c:pt idx="61">
                  <c:v>11.716443726937269</c:v>
                </c:pt>
                <c:pt idx="62">
                  <c:v>12.162896925403224</c:v>
                </c:pt>
                <c:pt idx="63">
                  <c:v>10.171706116908458</c:v>
                </c:pt>
                <c:pt idx="64">
                  <c:v>9.997790854717346</c:v>
                </c:pt>
                <c:pt idx="65">
                  <c:v>10.612257924131429</c:v>
                </c:pt>
                <c:pt idx="66">
                  <c:v>9.6109863528052557</c:v>
                </c:pt>
                <c:pt idx="67">
                  <c:v>11.111117861482382</c:v>
                </c:pt>
                <c:pt idx="68">
                  <c:v>11.971509150162946</c:v>
                </c:pt>
                <c:pt idx="69">
                  <c:v>11.690805429240733</c:v>
                </c:pt>
                <c:pt idx="70">
                  <c:v>10.148519109384754</c:v>
                </c:pt>
                <c:pt idx="71">
                  <c:v>9.8340637182416994</c:v>
                </c:pt>
                <c:pt idx="72">
                  <c:v>11.477137856972396</c:v>
                </c:pt>
                <c:pt idx="73">
                  <c:v>12.039325150768708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(All)'!$Q$7:$Q$107</c:f>
              <c:numCache>
                <c:formatCode>0.0000</c:formatCode>
                <c:ptCount val="101"/>
                <c:pt idx="45">
                  <c:v>13.018578750246402</c:v>
                </c:pt>
                <c:pt idx="46">
                  <c:v>11.550839591155611</c:v>
                </c:pt>
                <c:pt idx="47">
                  <c:v>13.003887297039158</c:v>
                </c:pt>
                <c:pt idx="48">
                  <c:v>12.291377983063894</c:v>
                </c:pt>
                <c:pt idx="49">
                  <c:v>13.280542000697107</c:v>
                </c:pt>
                <c:pt idx="50">
                  <c:v>9.8430276981852902</c:v>
                </c:pt>
                <c:pt idx="51">
                  <c:v>11.387858032378579</c:v>
                </c:pt>
                <c:pt idx="52">
                  <c:v>11.546980506014101</c:v>
                </c:pt>
                <c:pt idx="53">
                  <c:v>11.719699831365936</c:v>
                </c:pt>
                <c:pt idx="54">
                  <c:v>10.618419333768779</c:v>
                </c:pt>
                <c:pt idx="55">
                  <c:v>9.7869037695656189</c:v>
                </c:pt>
                <c:pt idx="56">
                  <c:v>9.5970060658578848</c:v>
                </c:pt>
                <c:pt idx="57">
                  <c:v>9.5046772684752092</c:v>
                </c:pt>
                <c:pt idx="58">
                  <c:v>11.295719844357977</c:v>
                </c:pt>
                <c:pt idx="59">
                  <c:v>11.542275235313209</c:v>
                </c:pt>
                <c:pt idx="60">
                  <c:v>11.504891857506362</c:v>
                </c:pt>
                <c:pt idx="61">
                  <c:v>11.716443726937269</c:v>
                </c:pt>
                <c:pt idx="62">
                  <c:v>12.162896925403224</c:v>
                </c:pt>
                <c:pt idx="63">
                  <c:v>10.171706116908458</c:v>
                </c:pt>
                <c:pt idx="64">
                  <c:v>9.997790854717346</c:v>
                </c:pt>
                <c:pt idx="65">
                  <c:v>10.612257924131429</c:v>
                </c:pt>
                <c:pt idx="66">
                  <c:v>9.6109863528052557</c:v>
                </c:pt>
                <c:pt idx="67">
                  <c:v>11.111117861482382</c:v>
                </c:pt>
                <c:pt idx="68">
                  <c:v>11.971509150162946</c:v>
                </c:pt>
                <c:pt idx="69">
                  <c:v>11.690805429240733</c:v>
                </c:pt>
                <c:pt idx="70">
                  <c:v>10.148519109384754</c:v>
                </c:pt>
                <c:pt idx="71">
                  <c:v>9.8340637182416994</c:v>
                </c:pt>
                <c:pt idx="72">
                  <c:v>11.477137856972396</c:v>
                </c:pt>
                <c:pt idx="73">
                  <c:v>12.039325150768708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396576"/>
        <c:axId val="721381456"/>
      </c:scatterChart>
      <c:valAx>
        <c:axId val="72139657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81456"/>
        <c:crosses val="autoZero"/>
        <c:crossBetween val="midCat"/>
        <c:majorUnit val="5"/>
      </c:valAx>
      <c:valAx>
        <c:axId val="72138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9657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(All)'!$P$7:$P$107</c:f>
              <c:numCache>
                <c:formatCode>0.0000</c:formatCode>
                <c:ptCount val="101"/>
                <c:pt idx="45">
                  <c:v>9.8499170305676849</c:v>
                </c:pt>
                <c:pt idx="46">
                  <c:v>9.1886494158030239</c:v>
                </c:pt>
                <c:pt idx="47">
                  <c:v>9.0157976071784649</c:v>
                </c:pt>
                <c:pt idx="48">
                  <c:v>9.2510610176958661</c:v>
                </c:pt>
                <c:pt idx="49">
                  <c:v>9.3508204323321671</c:v>
                </c:pt>
                <c:pt idx="50">
                  <c:v>10.826181264666708</c:v>
                </c:pt>
                <c:pt idx="51">
                  <c:v>9.1605333792154156</c:v>
                </c:pt>
                <c:pt idx="52">
                  <c:v>9.5057302886686781</c:v>
                </c:pt>
                <c:pt idx="53">
                  <c:v>7.3823674726807713</c:v>
                </c:pt>
                <c:pt idx="54">
                  <c:v>6.3410779205041203</c:v>
                </c:pt>
                <c:pt idx="55">
                  <c:v>6.1156184958091915</c:v>
                </c:pt>
                <c:pt idx="56">
                  <c:v>5.9190115123214202</c:v>
                </c:pt>
                <c:pt idx="57">
                  <c:v>7.1895670826833067</c:v>
                </c:pt>
                <c:pt idx="58">
                  <c:v>7.2772048497331712</c:v>
                </c:pt>
                <c:pt idx="59">
                  <c:v>7.8532104182601339</c:v>
                </c:pt>
                <c:pt idx="60">
                  <c:v>8.0524861060870148</c:v>
                </c:pt>
                <c:pt idx="61">
                  <c:v>7.484460864063629</c:v>
                </c:pt>
                <c:pt idx="62">
                  <c:v>6.9495219533720665</c:v>
                </c:pt>
                <c:pt idx="63">
                  <c:v>8.357512966940849</c:v>
                </c:pt>
                <c:pt idx="64">
                  <c:v>7.5481194971215713</c:v>
                </c:pt>
                <c:pt idx="65">
                  <c:v>7.8418128583329247</c:v>
                </c:pt>
                <c:pt idx="66">
                  <c:v>8.1843705339742758</c:v>
                </c:pt>
                <c:pt idx="67">
                  <c:v>9.0576281755196302</c:v>
                </c:pt>
                <c:pt idx="68">
                  <c:v>8.8749446010197701</c:v>
                </c:pt>
                <c:pt idx="69">
                  <c:v>8.1426815712569702</c:v>
                </c:pt>
                <c:pt idx="70">
                  <c:v>8.0960159362549788</c:v>
                </c:pt>
                <c:pt idx="71">
                  <c:v>8.7918264733395688</c:v>
                </c:pt>
                <c:pt idx="72">
                  <c:v>10.798970648185893</c:v>
                </c:pt>
                <c:pt idx="73">
                  <c:v>9.4288302553810457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(All)'!$P$7:$P$107</c:f>
              <c:numCache>
                <c:formatCode>0.0000</c:formatCode>
                <c:ptCount val="101"/>
                <c:pt idx="45">
                  <c:v>9.8499170305676849</c:v>
                </c:pt>
                <c:pt idx="46">
                  <c:v>9.1886494158030239</c:v>
                </c:pt>
                <c:pt idx="47">
                  <c:v>9.0157976071784649</c:v>
                </c:pt>
                <c:pt idx="48">
                  <c:v>9.2510610176958661</c:v>
                </c:pt>
                <c:pt idx="49">
                  <c:v>9.3508204323321671</c:v>
                </c:pt>
                <c:pt idx="50">
                  <c:v>10.826181264666708</c:v>
                </c:pt>
                <c:pt idx="51">
                  <c:v>9.1605333792154156</c:v>
                </c:pt>
                <c:pt idx="52">
                  <c:v>9.5057302886686781</c:v>
                </c:pt>
                <c:pt idx="53">
                  <c:v>7.3823674726807713</c:v>
                </c:pt>
                <c:pt idx="54">
                  <c:v>6.3410779205041203</c:v>
                </c:pt>
                <c:pt idx="55">
                  <c:v>6.1156184958091915</c:v>
                </c:pt>
                <c:pt idx="56">
                  <c:v>5.9190115123214202</c:v>
                </c:pt>
                <c:pt idx="57">
                  <c:v>7.1895670826833067</c:v>
                </c:pt>
                <c:pt idx="58">
                  <c:v>7.2772048497331712</c:v>
                </c:pt>
                <c:pt idx="59">
                  <c:v>7.8532104182601339</c:v>
                </c:pt>
                <c:pt idx="60">
                  <c:v>8.0524861060870148</c:v>
                </c:pt>
                <c:pt idx="61">
                  <c:v>7.484460864063629</c:v>
                </c:pt>
                <c:pt idx="62">
                  <c:v>6.9495219533720665</c:v>
                </c:pt>
                <c:pt idx="63">
                  <c:v>8.357512966940849</c:v>
                </c:pt>
                <c:pt idx="64">
                  <c:v>7.5481194971215713</c:v>
                </c:pt>
                <c:pt idx="65">
                  <c:v>7.8418128583329247</c:v>
                </c:pt>
                <c:pt idx="66">
                  <c:v>8.1843705339742758</c:v>
                </c:pt>
                <c:pt idx="67">
                  <c:v>9.0576281755196302</c:v>
                </c:pt>
                <c:pt idx="68">
                  <c:v>8.8749446010197701</c:v>
                </c:pt>
                <c:pt idx="69">
                  <c:v>8.1426815712569702</c:v>
                </c:pt>
                <c:pt idx="70">
                  <c:v>8.0960159362549788</c:v>
                </c:pt>
                <c:pt idx="71">
                  <c:v>8.7918264733395688</c:v>
                </c:pt>
                <c:pt idx="72">
                  <c:v>10.798970648185893</c:v>
                </c:pt>
                <c:pt idx="73">
                  <c:v>9.4288302553810457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391536"/>
        <c:axId val="721370256"/>
      </c:scatterChart>
      <c:valAx>
        <c:axId val="7213915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70256"/>
        <c:crosses val="autoZero"/>
        <c:crossBetween val="midCat"/>
        <c:majorUnit val="5"/>
      </c:valAx>
      <c:valAx>
        <c:axId val="72137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915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India, Imports,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(All)'!$DC$7:$DC$107</c:f>
              <c:numCache>
                <c:formatCode>General</c:formatCode>
                <c:ptCount val="101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(All)'!$DC$7:$DC$107</c:f>
              <c:numCache>
                <c:formatCode>General</c:formatCode>
                <c:ptCount val="1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378096"/>
        <c:axId val="721371936"/>
      </c:scatterChart>
      <c:valAx>
        <c:axId val="7213780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71936"/>
        <c:crosses val="autoZero"/>
        <c:crossBetween val="midCat"/>
        <c:majorUnit val="5"/>
      </c:valAx>
      <c:valAx>
        <c:axId val="72137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780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India, Exports, in pound/ton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(All)'!$DD$7:$DD$107</c:f>
              <c:numCache>
                <c:formatCode>General</c:formatCode>
                <c:ptCount val="101"/>
                <c:pt idx="3" formatCode="0.0000">
                  <c:v>3.7608616799828365</c:v>
                </c:pt>
                <c:pt idx="4" formatCode="0.0000">
                  <c:v>3.7015410456678532</c:v>
                </c:pt>
                <c:pt idx="5" formatCode="0.0000">
                  <c:v>4.2181898789867027</c:v>
                </c:pt>
                <c:pt idx="6" formatCode="0.0000">
                  <c:v>4.7159384471137127</c:v>
                </c:pt>
                <c:pt idx="7" formatCode="0.0000">
                  <c:v>4.1301965651342654</c:v>
                </c:pt>
                <c:pt idx="8" formatCode="0.0000">
                  <c:v>3.0483279199617619</c:v>
                </c:pt>
                <c:pt idx="9" formatCode="0.0000">
                  <c:v>3.0611360204658022</c:v>
                </c:pt>
                <c:pt idx="10" formatCode="0.0000">
                  <c:v>3.0371832091335698</c:v>
                </c:pt>
                <c:pt idx="11" formatCode="0.0000">
                  <c:v>3.6730970822108273</c:v>
                </c:pt>
                <c:pt idx="12" formatCode="0.0000">
                  <c:v>4.1059110758668629</c:v>
                </c:pt>
                <c:pt idx="13" formatCode="0.0000">
                  <c:v>3.9078013654731896</c:v>
                </c:pt>
                <c:pt idx="14" formatCode="0.0000">
                  <c:v>4.2556161466933169</c:v>
                </c:pt>
                <c:pt idx="15" formatCode="0.0000">
                  <c:v>4.3650256026223158</c:v>
                </c:pt>
                <c:pt idx="16" formatCode="0.0000">
                  <c:v>4.528204129823151</c:v>
                </c:pt>
                <c:pt idx="17" formatCode="0.0000">
                  <c:v>5.0124584492048294</c:v>
                </c:pt>
                <c:pt idx="18" formatCode="0.0000">
                  <c:v>5.7520430838294079</c:v>
                </c:pt>
                <c:pt idx="19" formatCode="0.0000">
                  <c:v>6.8547456846919248</c:v>
                </c:pt>
                <c:pt idx="20" formatCode="0.0000">
                  <c:v>6.9501410826018928</c:v>
                </c:pt>
                <c:pt idx="21" formatCode="0.0000">
                  <c:v>4.6756035577378006</c:v>
                </c:pt>
                <c:pt idx="22" formatCode="0.0000">
                  <c:v>4.5783137438081161</c:v>
                </c:pt>
                <c:pt idx="23" formatCode="0.0000">
                  <c:v>4.2275207029778965</c:v>
                </c:pt>
                <c:pt idx="24" formatCode="0.0000">
                  <c:v>5.6285918467201101</c:v>
                </c:pt>
                <c:pt idx="25" formatCode="0.0000">
                  <c:v>7.0986656088111815</c:v>
                </c:pt>
                <c:pt idx="26" formatCode="0.0000">
                  <c:v>9.9234501281828429</c:v>
                </c:pt>
                <c:pt idx="27" formatCode="0.0000">
                  <c:v>7.2935062964391228</c:v>
                </c:pt>
                <c:pt idx="28" formatCode="0.0000">
                  <c:v>5.4383168846489269</c:v>
                </c:pt>
                <c:pt idx="29" formatCode="0.0000">
                  <c:v>6.5213029342519926</c:v>
                </c:pt>
                <c:pt idx="30" formatCode="0.0000">
                  <c:v>5.5507379302845772</c:v>
                </c:pt>
                <c:pt idx="31" formatCode="0.0000">
                  <c:v>5.3819434089213258</c:v>
                </c:pt>
                <c:pt idx="32" formatCode="0.0000">
                  <c:v>5.0880807822578626</c:v>
                </c:pt>
                <c:pt idx="33" formatCode="0.0000">
                  <c:v>5.6077829130209293</c:v>
                </c:pt>
                <c:pt idx="34" formatCode="0.0000">
                  <c:v>7.8469039034782231</c:v>
                </c:pt>
                <c:pt idx="35" formatCode="0.0000">
                  <c:v>7.0850618448165283</c:v>
                </c:pt>
                <c:pt idx="36" formatCode="0.0000">
                  <c:v>5.5684579089648025</c:v>
                </c:pt>
                <c:pt idx="37" formatCode="0.0000">
                  <c:v>7.7354174840054615</c:v>
                </c:pt>
                <c:pt idx="38" formatCode="0.0000">
                  <c:v>8.3007011599028537</c:v>
                </c:pt>
                <c:pt idx="39" formatCode="0.0000">
                  <c:v>8.910271947292058</c:v>
                </c:pt>
                <c:pt idx="40" formatCode="0.0000">
                  <c:v>6.9526158608533928</c:v>
                </c:pt>
                <c:pt idx="41" formatCode="0.0000">
                  <c:v>5.2731142309322339</c:v>
                </c:pt>
                <c:pt idx="42" formatCode="0.0000">
                  <c:v>4.8733929656772768</c:v>
                </c:pt>
                <c:pt idx="43" formatCode="0.0000">
                  <c:v>5.5244581053823731</c:v>
                </c:pt>
                <c:pt idx="44" formatCode="0.0000">
                  <c:v>6.9520878971754509</c:v>
                </c:pt>
                <c:pt idx="45" formatCode="0.0000">
                  <c:v>6.3596543915900314</c:v>
                </c:pt>
                <c:pt idx="46" formatCode="0.0000">
                  <c:v>6.0730372779778667</c:v>
                </c:pt>
                <c:pt idx="47" formatCode="0.0000">
                  <c:v>4.9248577826869866</c:v>
                </c:pt>
                <c:pt idx="48" formatCode="0.0000">
                  <c:v>5.0419363802408634</c:v>
                </c:pt>
                <c:pt idx="49" formatCode="0.0000">
                  <c:v>6.1710450252651574</c:v>
                </c:pt>
                <c:pt idx="50" formatCode="0.0000">
                  <c:v>6.9650139209139095</c:v>
                </c:pt>
                <c:pt idx="51" formatCode="0.0000">
                  <c:v>6.4266138337112517</c:v>
                </c:pt>
                <c:pt idx="52" formatCode="0.0000">
                  <c:v>6.6454312087835019</c:v>
                </c:pt>
                <c:pt idx="53" formatCode="0.0000">
                  <c:v>6.5841767413581254</c:v>
                </c:pt>
                <c:pt idx="54" formatCode="0.0000">
                  <c:v>5.3231143495794386</c:v>
                </c:pt>
                <c:pt idx="55" formatCode="0.0000">
                  <c:v>4.0855123070908261</c:v>
                </c:pt>
                <c:pt idx="56" formatCode="0.0000">
                  <c:v>4.9356283010120263</c:v>
                </c:pt>
                <c:pt idx="57" formatCode="0.0000">
                  <c:v>6.9109219969437339</c:v>
                </c:pt>
                <c:pt idx="58" formatCode="0.0000">
                  <c:v>5.7133133311422934</c:v>
                </c:pt>
                <c:pt idx="59" formatCode="0.0000">
                  <c:v>5.0584176867490225</c:v>
                </c:pt>
                <c:pt idx="60" formatCode="0.0000">
                  <c:v>5.1969100069870748</c:v>
                </c:pt>
                <c:pt idx="61" formatCode="0.0000">
                  <c:v>5.8426308112715182</c:v>
                </c:pt>
                <c:pt idx="62" formatCode="0.0000">
                  <c:v>5.9484006924269099</c:v>
                </c:pt>
                <c:pt idx="63" formatCode="0.0000">
                  <c:v>5.2757019581059224</c:v>
                </c:pt>
                <c:pt idx="64" formatCode="0.0000">
                  <c:v>5.3996925583650039</c:v>
                </c:pt>
                <c:pt idx="65" formatCode="0.0000">
                  <c:v>5.2573996298640449</c:v>
                </c:pt>
                <c:pt idx="66" formatCode="0.0000">
                  <c:v>6.8502218719548713</c:v>
                </c:pt>
                <c:pt idx="67" formatCode="0.0000">
                  <c:v>8.7143085606351267</c:v>
                </c:pt>
                <c:pt idx="68" formatCode="0.0000">
                  <c:v>8.7669677266104014</c:v>
                </c:pt>
                <c:pt idx="69" formatCode="0.0000">
                  <c:v>7.974917970299729</c:v>
                </c:pt>
                <c:pt idx="70" formatCode="0.0000">
                  <c:v>5.0062479620664897</c:v>
                </c:pt>
                <c:pt idx="71" formatCode="0.0000">
                  <c:v>6.0283183692320117</c:v>
                </c:pt>
                <c:pt idx="72" formatCode="0.0000">
                  <c:v>6.9305741659106532</c:v>
                </c:pt>
                <c:pt idx="73" formatCode="0.0000">
                  <c:v>7.5077055769126764</c:v>
                </c:pt>
                <c:pt idx="74" formatCode="0.0000">
                  <c:v>5.1293626234694747</c:v>
                </c:pt>
                <c:pt idx="75" formatCode="0.0000">
                  <c:v>5.3536185854752993</c:v>
                </c:pt>
                <c:pt idx="76" formatCode="0.0000">
                  <c:v>5.4676347320569336</c:v>
                </c:pt>
                <c:pt idx="77" formatCode="0.0000">
                  <c:v>4.9457100320785736</c:v>
                </c:pt>
                <c:pt idx="78" formatCode="0.0000">
                  <c:v>3.8787878787878789</c:v>
                </c:pt>
                <c:pt idx="79" formatCode="0.0000">
                  <c:v>6.2622874701322644</c:v>
                </c:pt>
                <c:pt idx="80" formatCode="0.0000">
                  <c:v>8.8332105831042433</c:v>
                </c:pt>
                <c:pt idx="81" formatCode="0.0000">
                  <c:v>6.9042376893939386</c:v>
                </c:pt>
                <c:pt idx="82" formatCode="0.0000">
                  <c:v>6.4655539772727275</c:v>
                </c:pt>
                <c:pt idx="83" formatCode="0.0000">
                  <c:v>5.5517578125</c:v>
                </c:pt>
                <c:pt idx="84" formatCode="0.0000">
                  <c:v>5.856001420454545</c:v>
                </c:pt>
                <c:pt idx="85" formatCode="0.0000">
                  <c:v>6.9208984375</c:v>
                </c:pt>
                <c:pt idx="86" formatCode="0.0000">
                  <c:v>6.7086292613636367</c:v>
                </c:pt>
                <c:pt idx="87" formatCode="0.0000">
                  <c:v>6.826704545454545</c:v>
                </c:pt>
                <c:pt idx="88" formatCode="0.0000">
                  <c:v>6.5878462357954541</c:v>
                </c:pt>
                <c:pt idx="89" formatCode="0.0000">
                  <c:v>5.8700284090909083</c:v>
                </c:pt>
                <c:pt idx="90" formatCode="0.0000">
                  <c:v>5.1653993983957207</c:v>
                </c:pt>
                <c:pt idx="91" formatCode="0.0000">
                  <c:v>3.5011280080213893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'Rice (All)'!$A$7:$A$107</c:f>
              <c:numCache>
                <c:formatCode>General</c:formatCode>
                <c:ptCount val="101"/>
                <c:pt idx="0">
                  <c:v>1840</c:v>
                </c:pt>
                <c:pt idx="1">
                  <c:v>1841</c:v>
                </c:pt>
                <c:pt idx="2">
                  <c:v>1842</c:v>
                </c:pt>
                <c:pt idx="3">
                  <c:v>1843</c:v>
                </c:pt>
                <c:pt idx="4">
                  <c:v>1844</c:v>
                </c:pt>
                <c:pt idx="5">
                  <c:v>1845</c:v>
                </c:pt>
                <c:pt idx="6">
                  <c:v>1846</c:v>
                </c:pt>
                <c:pt idx="7">
                  <c:v>1847</c:v>
                </c:pt>
                <c:pt idx="8">
                  <c:v>1848</c:v>
                </c:pt>
                <c:pt idx="9">
                  <c:v>1849</c:v>
                </c:pt>
                <c:pt idx="10">
                  <c:v>1850</c:v>
                </c:pt>
                <c:pt idx="11">
                  <c:v>1851</c:v>
                </c:pt>
                <c:pt idx="12">
                  <c:v>1852</c:v>
                </c:pt>
                <c:pt idx="13">
                  <c:v>1853</c:v>
                </c:pt>
                <c:pt idx="14">
                  <c:v>1854</c:v>
                </c:pt>
                <c:pt idx="15">
                  <c:v>1855</c:v>
                </c:pt>
                <c:pt idx="16">
                  <c:v>1856</c:v>
                </c:pt>
                <c:pt idx="17">
                  <c:v>1857</c:v>
                </c:pt>
                <c:pt idx="18">
                  <c:v>1858</c:v>
                </c:pt>
                <c:pt idx="19">
                  <c:v>1859</c:v>
                </c:pt>
                <c:pt idx="20">
                  <c:v>1860</c:v>
                </c:pt>
                <c:pt idx="21">
                  <c:v>1861</c:v>
                </c:pt>
                <c:pt idx="22">
                  <c:v>1862</c:v>
                </c:pt>
                <c:pt idx="23">
                  <c:v>1863</c:v>
                </c:pt>
                <c:pt idx="24">
                  <c:v>1864</c:v>
                </c:pt>
                <c:pt idx="25">
                  <c:v>1865</c:v>
                </c:pt>
                <c:pt idx="26">
                  <c:v>1866</c:v>
                </c:pt>
                <c:pt idx="27">
                  <c:v>1867</c:v>
                </c:pt>
                <c:pt idx="28">
                  <c:v>1868</c:v>
                </c:pt>
                <c:pt idx="29">
                  <c:v>1869</c:v>
                </c:pt>
                <c:pt idx="30">
                  <c:v>1870</c:v>
                </c:pt>
                <c:pt idx="31">
                  <c:v>1871</c:v>
                </c:pt>
                <c:pt idx="32">
                  <c:v>1872</c:v>
                </c:pt>
                <c:pt idx="33">
                  <c:v>1873</c:v>
                </c:pt>
                <c:pt idx="34">
                  <c:v>1874</c:v>
                </c:pt>
                <c:pt idx="35">
                  <c:v>1875</c:v>
                </c:pt>
                <c:pt idx="36">
                  <c:v>1876</c:v>
                </c:pt>
                <c:pt idx="37">
                  <c:v>1877</c:v>
                </c:pt>
                <c:pt idx="38">
                  <c:v>1878</c:v>
                </c:pt>
                <c:pt idx="39">
                  <c:v>1879</c:v>
                </c:pt>
                <c:pt idx="40">
                  <c:v>1880</c:v>
                </c:pt>
                <c:pt idx="41">
                  <c:v>1881</c:v>
                </c:pt>
                <c:pt idx="42">
                  <c:v>1882</c:v>
                </c:pt>
                <c:pt idx="43">
                  <c:v>1883</c:v>
                </c:pt>
                <c:pt idx="44">
                  <c:v>1884</c:v>
                </c:pt>
                <c:pt idx="45">
                  <c:v>1885</c:v>
                </c:pt>
                <c:pt idx="46">
                  <c:v>1886</c:v>
                </c:pt>
                <c:pt idx="47">
                  <c:v>1887</c:v>
                </c:pt>
                <c:pt idx="48">
                  <c:v>1888</c:v>
                </c:pt>
                <c:pt idx="49">
                  <c:v>1889</c:v>
                </c:pt>
                <c:pt idx="50">
                  <c:v>1890</c:v>
                </c:pt>
                <c:pt idx="51">
                  <c:v>1891</c:v>
                </c:pt>
                <c:pt idx="52">
                  <c:v>1892</c:v>
                </c:pt>
                <c:pt idx="53">
                  <c:v>1893</c:v>
                </c:pt>
                <c:pt idx="54">
                  <c:v>1894</c:v>
                </c:pt>
                <c:pt idx="55">
                  <c:v>1895</c:v>
                </c:pt>
                <c:pt idx="56">
                  <c:v>1896</c:v>
                </c:pt>
                <c:pt idx="57">
                  <c:v>1897</c:v>
                </c:pt>
                <c:pt idx="58">
                  <c:v>1898</c:v>
                </c:pt>
                <c:pt idx="59">
                  <c:v>1899</c:v>
                </c:pt>
                <c:pt idx="60">
                  <c:v>1900</c:v>
                </c:pt>
                <c:pt idx="61">
                  <c:v>1901</c:v>
                </c:pt>
                <c:pt idx="62">
                  <c:v>1902</c:v>
                </c:pt>
                <c:pt idx="63">
                  <c:v>1903</c:v>
                </c:pt>
                <c:pt idx="64">
                  <c:v>1904</c:v>
                </c:pt>
                <c:pt idx="65">
                  <c:v>1905</c:v>
                </c:pt>
                <c:pt idx="66">
                  <c:v>1906</c:v>
                </c:pt>
                <c:pt idx="67">
                  <c:v>1907</c:v>
                </c:pt>
                <c:pt idx="68">
                  <c:v>1908</c:v>
                </c:pt>
                <c:pt idx="69">
                  <c:v>1909</c:v>
                </c:pt>
                <c:pt idx="70">
                  <c:v>1910</c:v>
                </c:pt>
                <c:pt idx="71">
                  <c:v>1911</c:v>
                </c:pt>
                <c:pt idx="72">
                  <c:v>1912</c:v>
                </c:pt>
                <c:pt idx="73">
                  <c:v>1913</c:v>
                </c:pt>
                <c:pt idx="74">
                  <c:v>1914</c:v>
                </c:pt>
                <c:pt idx="75">
                  <c:v>1915</c:v>
                </c:pt>
                <c:pt idx="76">
                  <c:v>1916</c:v>
                </c:pt>
                <c:pt idx="77">
                  <c:v>1917</c:v>
                </c:pt>
                <c:pt idx="78">
                  <c:v>1918</c:v>
                </c:pt>
                <c:pt idx="79">
                  <c:v>1919</c:v>
                </c:pt>
                <c:pt idx="80">
                  <c:v>1920</c:v>
                </c:pt>
                <c:pt idx="81">
                  <c:v>1921</c:v>
                </c:pt>
                <c:pt idx="82">
                  <c:v>1922</c:v>
                </c:pt>
                <c:pt idx="83">
                  <c:v>1923</c:v>
                </c:pt>
                <c:pt idx="84">
                  <c:v>1924</c:v>
                </c:pt>
                <c:pt idx="85">
                  <c:v>1925</c:v>
                </c:pt>
                <c:pt idx="86">
                  <c:v>1926</c:v>
                </c:pt>
                <c:pt idx="87">
                  <c:v>1927</c:v>
                </c:pt>
                <c:pt idx="88">
                  <c:v>1928</c:v>
                </c:pt>
                <c:pt idx="89">
                  <c:v>1929</c:v>
                </c:pt>
                <c:pt idx="90">
                  <c:v>1930</c:v>
                </c:pt>
                <c:pt idx="91">
                  <c:v>1931</c:v>
                </c:pt>
                <c:pt idx="92">
                  <c:v>1932</c:v>
                </c:pt>
                <c:pt idx="93">
                  <c:v>1933</c:v>
                </c:pt>
                <c:pt idx="94">
                  <c:v>1934</c:v>
                </c:pt>
                <c:pt idx="95">
                  <c:v>1935</c:v>
                </c:pt>
                <c:pt idx="96">
                  <c:v>1936</c:v>
                </c:pt>
                <c:pt idx="97">
                  <c:v>1937</c:v>
                </c:pt>
                <c:pt idx="98">
                  <c:v>1938</c:v>
                </c:pt>
                <c:pt idx="99">
                  <c:v>1939</c:v>
                </c:pt>
                <c:pt idx="100">
                  <c:v>1940</c:v>
                </c:pt>
              </c:numCache>
            </c:numRef>
          </c:xVal>
          <c:yVal>
            <c:numRef>
              <c:f>'Rice (All)'!$DD$7:$DD$107</c:f>
              <c:numCache>
                <c:formatCode>General</c:formatCode>
                <c:ptCount val="101"/>
                <c:pt idx="3" formatCode="0.0000">
                  <c:v>3.7608616799828365</c:v>
                </c:pt>
                <c:pt idx="4" formatCode="0.0000">
                  <c:v>3.7015410456678532</c:v>
                </c:pt>
                <c:pt idx="5" formatCode="0.0000">
                  <c:v>4.2181898789867027</c:v>
                </c:pt>
                <c:pt idx="6" formatCode="0.0000">
                  <c:v>4.7159384471137127</c:v>
                </c:pt>
                <c:pt idx="7" formatCode="0.0000">
                  <c:v>4.1301965651342654</c:v>
                </c:pt>
                <c:pt idx="8" formatCode="0.0000">
                  <c:v>3.0483279199617619</c:v>
                </c:pt>
                <c:pt idx="9" formatCode="0.0000">
                  <c:v>3.0611360204658022</c:v>
                </c:pt>
                <c:pt idx="10" formatCode="0.0000">
                  <c:v>3.0371832091335698</c:v>
                </c:pt>
                <c:pt idx="11" formatCode="0.0000">
                  <c:v>3.6730970822108273</c:v>
                </c:pt>
                <c:pt idx="12" formatCode="0.0000">
                  <c:v>4.1059110758668629</c:v>
                </c:pt>
                <c:pt idx="13" formatCode="0.0000">
                  <c:v>3.9078013654731896</c:v>
                </c:pt>
                <c:pt idx="14" formatCode="0.0000">
                  <c:v>4.2556161466933169</c:v>
                </c:pt>
                <c:pt idx="15" formatCode="0.0000">
                  <c:v>4.3650256026223158</c:v>
                </c:pt>
                <c:pt idx="16" formatCode="0.0000">
                  <c:v>4.528204129823151</c:v>
                </c:pt>
                <c:pt idx="17" formatCode="0.0000">
                  <c:v>5.0124584492048294</c:v>
                </c:pt>
                <c:pt idx="18" formatCode="0.0000">
                  <c:v>5.7520430838294079</c:v>
                </c:pt>
                <c:pt idx="19" formatCode="0.0000">
                  <c:v>6.8547456846919248</c:v>
                </c:pt>
                <c:pt idx="20" formatCode="0.0000">
                  <c:v>6.9501410826018928</c:v>
                </c:pt>
                <c:pt idx="21" formatCode="0.0000">
                  <c:v>4.6756035577378006</c:v>
                </c:pt>
                <c:pt idx="22" formatCode="0.0000">
                  <c:v>4.5783137438081161</c:v>
                </c:pt>
                <c:pt idx="23" formatCode="0.0000">
                  <c:v>4.2275207029778965</c:v>
                </c:pt>
                <c:pt idx="24" formatCode="0.0000">
                  <c:v>5.6285918467201101</c:v>
                </c:pt>
                <c:pt idx="25" formatCode="0.0000">
                  <c:v>7.0986656088111815</c:v>
                </c:pt>
                <c:pt idx="26" formatCode="0.0000">
                  <c:v>9.9234501281828429</c:v>
                </c:pt>
                <c:pt idx="27" formatCode="0.0000">
                  <c:v>7.2935062964391228</c:v>
                </c:pt>
                <c:pt idx="28" formatCode="0.0000">
                  <c:v>5.4383168846489269</c:v>
                </c:pt>
                <c:pt idx="29" formatCode="0.0000">
                  <c:v>6.5213029342519926</c:v>
                </c:pt>
                <c:pt idx="30" formatCode="0.0000">
                  <c:v>5.5507379302845772</c:v>
                </c:pt>
                <c:pt idx="31" formatCode="0.0000">
                  <c:v>5.3819434089213258</c:v>
                </c:pt>
                <c:pt idx="32" formatCode="0.0000">
                  <c:v>5.0880807822578626</c:v>
                </c:pt>
                <c:pt idx="33" formatCode="0.0000">
                  <c:v>5.6077829130209293</c:v>
                </c:pt>
                <c:pt idx="34" formatCode="0.0000">
                  <c:v>7.8469039034782231</c:v>
                </c:pt>
                <c:pt idx="35" formatCode="0.0000">
                  <c:v>7.0850618448165283</c:v>
                </c:pt>
                <c:pt idx="36" formatCode="0.0000">
                  <c:v>5.5684579089648025</c:v>
                </c:pt>
                <c:pt idx="37" formatCode="0.0000">
                  <c:v>7.7354174840054615</c:v>
                </c:pt>
                <c:pt idx="38" formatCode="0.0000">
                  <c:v>8.3007011599028537</c:v>
                </c:pt>
                <c:pt idx="39" formatCode="0.0000">
                  <c:v>8.910271947292058</c:v>
                </c:pt>
                <c:pt idx="40" formatCode="0.0000">
                  <c:v>6.9526158608533928</c:v>
                </c:pt>
                <c:pt idx="41" formatCode="0.0000">
                  <c:v>5.2731142309322339</c:v>
                </c:pt>
                <c:pt idx="42" formatCode="0.0000">
                  <c:v>4.8733929656772768</c:v>
                </c:pt>
                <c:pt idx="43" formatCode="0.0000">
                  <c:v>5.5244581053823731</c:v>
                </c:pt>
                <c:pt idx="44" formatCode="0.0000">
                  <c:v>6.9520878971754509</c:v>
                </c:pt>
                <c:pt idx="45" formatCode="0.0000">
                  <c:v>6.3596543915900314</c:v>
                </c:pt>
                <c:pt idx="46" formatCode="0.0000">
                  <c:v>6.0730372779778667</c:v>
                </c:pt>
                <c:pt idx="47" formatCode="0.0000">
                  <c:v>4.9248577826869866</c:v>
                </c:pt>
                <c:pt idx="48" formatCode="0.0000">
                  <c:v>5.0419363802408634</c:v>
                </c:pt>
                <c:pt idx="49" formatCode="0.0000">
                  <c:v>6.1710450252651574</c:v>
                </c:pt>
                <c:pt idx="50" formatCode="0.0000">
                  <c:v>6.9650139209139095</c:v>
                </c:pt>
                <c:pt idx="51" formatCode="0.0000">
                  <c:v>6.4266138337112517</c:v>
                </c:pt>
                <c:pt idx="52" formatCode="0.0000">
                  <c:v>6.6454312087835019</c:v>
                </c:pt>
                <c:pt idx="53" formatCode="0.0000">
                  <c:v>6.5841767413581254</c:v>
                </c:pt>
                <c:pt idx="54" formatCode="0.0000">
                  <c:v>5.3231143495794386</c:v>
                </c:pt>
                <c:pt idx="55" formatCode="0.0000">
                  <c:v>4.0855123070908261</c:v>
                </c:pt>
                <c:pt idx="56" formatCode="0.0000">
                  <c:v>4.9356283010120263</c:v>
                </c:pt>
                <c:pt idx="57" formatCode="0.0000">
                  <c:v>6.9109219969437339</c:v>
                </c:pt>
                <c:pt idx="58" formatCode="0.0000">
                  <c:v>5.7133133311422934</c:v>
                </c:pt>
                <c:pt idx="59" formatCode="0.0000">
                  <c:v>5.0584176867490225</c:v>
                </c:pt>
                <c:pt idx="60" formatCode="0.0000">
                  <c:v>5.1969100069870748</c:v>
                </c:pt>
                <c:pt idx="61" formatCode="0.0000">
                  <c:v>5.8426308112715182</c:v>
                </c:pt>
                <c:pt idx="62" formatCode="0.0000">
                  <c:v>5.9484006924269099</c:v>
                </c:pt>
                <c:pt idx="63" formatCode="0.0000">
                  <c:v>5.2757019581059224</c:v>
                </c:pt>
                <c:pt idx="64" formatCode="0.0000">
                  <c:v>5.3996925583650039</c:v>
                </c:pt>
                <c:pt idx="65" formatCode="0.0000">
                  <c:v>5.2573996298640449</c:v>
                </c:pt>
                <c:pt idx="66" formatCode="0.0000">
                  <c:v>6.8502218719548713</c:v>
                </c:pt>
                <c:pt idx="67" formatCode="0.0000">
                  <c:v>8.7143085606351267</c:v>
                </c:pt>
                <c:pt idx="68" formatCode="0.0000">
                  <c:v>8.7669677266104014</c:v>
                </c:pt>
                <c:pt idx="69" formatCode="0.0000">
                  <c:v>7.974917970299729</c:v>
                </c:pt>
                <c:pt idx="70" formatCode="0.0000">
                  <c:v>5.0062479620664897</c:v>
                </c:pt>
                <c:pt idx="71" formatCode="0.0000">
                  <c:v>6.0283183692320117</c:v>
                </c:pt>
                <c:pt idx="72" formatCode="0.0000">
                  <c:v>6.9305741659106532</c:v>
                </c:pt>
                <c:pt idx="73" formatCode="0.0000">
                  <c:v>7.5077055769126764</c:v>
                </c:pt>
                <c:pt idx="74" formatCode="0.0000">
                  <c:v>5.1293626234694747</c:v>
                </c:pt>
                <c:pt idx="75" formatCode="0.0000">
                  <c:v>5.3536185854752993</c:v>
                </c:pt>
                <c:pt idx="76" formatCode="0.0000">
                  <c:v>5.4676347320569336</c:v>
                </c:pt>
                <c:pt idx="77" formatCode="0.0000">
                  <c:v>4.9457100320785736</c:v>
                </c:pt>
                <c:pt idx="78" formatCode="0.0000">
                  <c:v>3.8787878787878789</c:v>
                </c:pt>
                <c:pt idx="79" formatCode="0.0000">
                  <c:v>6.2622874701322644</c:v>
                </c:pt>
                <c:pt idx="80" formatCode="0.0000">
                  <c:v>8.8332105831042433</c:v>
                </c:pt>
                <c:pt idx="81" formatCode="0.0000">
                  <c:v>6.9042376893939386</c:v>
                </c:pt>
                <c:pt idx="82" formatCode="0.0000">
                  <c:v>6.4655539772727275</c:v>
                </c:pt>
                <c:pt idx="83" formatCode="0.0000">
                  <c:v>5.5517578125</c:v>
                </c:pt>
                <c:pt idx="84" formatCode="0.0000">
                  <c:v>5.856001420454545</c:v>
                </c:pt>
                <c:pt idx="85" formatCode="0.0000">
                  <c:v>6.9208984375</c:v>
                </c:pt>
                <c:pt idx="86" formatCode="0.0000">
                  <c:v>6.7086292613636367</c:v>
                </c:pt>
                <c:pt idx="87" formatCode="0.0000">
                  <c:v>6.826704545454545</c:v>
                </c:pt>
                <c:pt idx="88" formatCode="0.0000">
                  <c:v>6.5878462357954541</c:v>
                </c:pt>
                <c:pt idx="89" formatCode="0.0000">
                  <c:v>5.8700284090909083</c:v>
                </c:pt>
                <c:pt idx="90" formatCode="0.0000">
                  <c:v>5.1653993983957207</c:v>
                </c:pt>
                <c:pt idx="91" formatCode="0.0000">
                  <c:v>3.5011280080213893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388736"/>
        <c:axId val="721376416"/>
      </c:scatterChart>
      <c:valAx>
        <c:axId val="72138873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76416"/>
        <c:crosses val="autoZero"/>
        <c:crossBetween val="midCat"/>
        <c:majorUnit val="5"/>
      </c:valAx>
      <c:valAx>
        <c:axId val="72137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13887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6" Type="http://schemas.openxmlformats.org/officeDocument/2006/relationships/chart" Target="../charts/chart16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3" Type="http://schemas.openxmlformats.org/officeDocument/2006/relationships/chart" Target="../charts/chart3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</xdr:row>
      <xdr:rowOff>38100</xdr:rowOff>
    </xdr:from>
    <xdr:to>
      <xdr:col>22</xdr:col>
      <xdr:colOff>571500</xdr:colOff>
      <xdr:row>27</xdr:row>
      <xdr:rowOff>139700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25400</xdr:colOff>
      <xdr:row>30</xdr:row>
      <xdr:rowOff>50800</xdr:rowOff>
    </xdr:from>
    <xdr:to>
      <xdr:col>22</xdr:col>
      <xdr:colOff>558800</xdr:colOff>
      <xdr:row>56</xdr:row>
      <xdr:rowOff>165100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533400</xdr:colOff>
      <xdr:row>30</xdr:row>
      <xdr:rowOff>76200</xdr:rowOff>
    </xdr:from>
    <xdr:to>
      <xdr:col>34</xdr:col>
      <xdr:colOff>457200</xdr:colOff>
      <xdr:row>57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25400</xdr:colOff>
      <xdr:row>59</xdr:row>
      <xdr:rowOff>50800</xdr:rowOff>
    </xdr:from>
    <xdr:to>
      <xdr:col>22</xdr:col>
      <xdr:colOff>558800</xdr:colOff>
      <xdr:row>85</xdr:row>
      <xdr:rowOff>152400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558800</xdr:colOff>
      <xdr:row>59</xdr:row>
      <xdr:rowOff>101600</xdr:rowOff>
    </xdr:from>
    <xdr:to>
      <xdr:col>34</xdr:col>
      <xdr:colOff>482600</xdr:colOff>
      <xdr:row>86</xdr:row>
      <xdr:rowOff>25400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171450</xdr:colOff>
      <xdr:row>149</xdr:row>
      <xdr:rowOff>50800</xdr:rowOff>
    </xdr:from>
    <xdr:to>
      <xdr:col>11</xdr:col>
      <xdr:colOff>95250</xdr:colOff>
      <xdr:row>175</xdr:row>
      <xdr:rowOff>127000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552450</xdr:colOff>
      <xdr:row>149</xdr:row>
      <xdr:rowOff>50800</xdr:rowOff>
    </xdr:from>
    <xdr:to>
      <xdr:col>22</xdr:col>
      <xdr:colOff>476250</xdr:colOff>
      <xdr:row>175</xdr:row>
      <xdr:rowOff>127000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552450</xdr:colOff>
      <xdr:row>149</xdr:row>
      <xdr:rowOff>76200</xdr:rowOff>
    </xdr:from>
    <xdr:to>
      <xdr:col>34</xdr:col>
      <xdr:colOff>476250</xdr:colOff>
      <xdr:row>176</xdr:row>
      <xdr:rowOff>25400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203200</xdr:colOff>
      <xdr:row>30</xdr:row>
      <xdr:rowOff>50800</xdr:rowOff>
    </xdr:from>
    <xdr:to>
      <xdr:col>11</xdr:col>
      <xdr:colOff>127000</xdr:colOff>
      <xdr:row>56</xdr:row>
      <xdr:rowOff>152400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59</xdr:row>
      <xdr:rowOff>50800</xdr:rowOff>
    </xdr:from>
    <xdr:to>
      <xdr:col>11</xdr:col>
      <xdr:colOff>152400</xdr:colOff>
      <xdr:row>85</xdr:row>
      <xdr:rowOff>152400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88</xdr:row>
      <xdr:rowOff>76200</xdr:rowOff>
    </xdr:from>
    <xdr:to>
      <xdr:col>11</xdr:col>
      <xdr:colOff>152400</xdr:colOff>
      <xdr:row>115</xdr:row>
      <xdr:rowOff>0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50800</xdr:colOff>
      <xdr:row>88</xdr:row>
      <xdr:rowOff>50800</xdr:rowOff>
    </xdr:from>
    <xdr:to>
      <xdr:col>22</xdr:col>
      <xdr:colOff>584200</xdr:colOff>
      <xdr:row>114</xdr:row>
      <xdr:rowOff>152400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25400</xdr:colOff>
      <xdr:row>88</xdr:row>
      <xdr:rowOff>76200</xdr:rowOff>
    </xdr:from>
    <xdr:to>
      <xdr:col>34</xdr:col>
      <xdr:colOff>558800</xdr:colOff>
      <xdr:row>115</xdr:row>
      <xdr:rowOff>0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196850</xdr:colOff>
      <xdr:row>178</xdr:row>
      <xdr:rowOff>76200</xdr:rowOff>
    </xdr:from>
    <xdr:to>
      <xdr:col>11</xdr:col>
      <xdr:colOff>120650</xdr:colOff>
      <xdr:row>205</xdr:row>
      <xdr:rowOff>25400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11</xdr:col>
      <xdr:colOff>577850</xdr:colOff>
      <xdr:row>178</xdr:row>
      <xdr:rowOff>101600</xdr:rowOff>
    </xdr:from>
    <xdr:to>
      <xdr:col>22</xdr:col>
      <xdr:colOff>501650</xdr:colOff>
      <xdr:row>205</xdr:row>
      <xdr:rowOff>50800</xdr:rowOff>
    </xdr:to>
    <xdr:graphicFrame macro="">
      <xdr:nvGraphicFramePr>
        <xdr:cNvPr id="47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23</xdr:col>
      <xdr:colOff>577850</xdr:colOff>
      <xdr:row>178</xdr:row>
      <xdr:rowOff>101600</xdr:rowOff>
    </xdr:from>
    <xdr:to>
      <xdr:col>34</xdr:col>
      <xdr:colOff>501650</xdr:colOff>
      <xdr:row>205</xdr:row>
      <xdr:rowOff>50800</xdr:rowOff>
    </xdr:to>
    <xdr:graphicFrame macro="">
      <xdr:nvGraphicFramePr>
        <xdr:cNvPr id="48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222250</xdr:colOff>
      <xdr:row>207</xdr:row>
      <xdr:rowOff>127000</xdr:rowOff>
    </xdr:from>
    <xdr:to>
      <xdr:col>11</xdr:col>
      <xdr:colOff>146050</xdr:colOff>
      <xdr:row>234</xdr:row>
      <xdr:rowOff>76200</xdr:rowOff>
    </xdr:to>
    <xdr:graphicFrame macro="">
      <xdr:nvGraphicFramePr>
        <xdr:cNvPr id="4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23</xdr:col>
      <xdr:colOff>603250</xdr:colOff>
      <xdr:row>208</xdr:row>
      <xdr:rowOff>0</xdr:rowOff>
    </xdr:from>
    <xdr:to>
      <xdr:col>34</xdr:col>
      <xdr:colOff>527050</xdr:colOff>
      <xdr:row>234</xdr:row>
      <xdr:rowOff>76200</xdr:rowOff>
    </xdr:to>
    <xdr:graphicFrame macro="">
      <xdr:nvGraphicFramePr>
        <xdr:cNvPr id="51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603250</xdr:colOff>
      <xdr:row>207</xdr:row>
      <xdr:rowOff>127000</xdr:rowOff>
    </xdr:from>
    <xdr:to>
      <xdr:col>22</xdr:col>
      <xdr:colOff>527050</xdr:colOff>
      <xdr:row>234</xdr:row>
      <xdr:rowOff>76200</xdr:rowOff>
    </xdr:to>
    <xdr:graphicFrame macro="">
      <xdr:nvGraphicFramePr>
        <xdr:cNvPr id="52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222250</xdr:colOff>
      <xdr:row>236</xdr:row>
      <xdr:rowOff>101600</xdr:rowOff>
    </xdr:from>
    <xdr:to>
      <xdr:col>11</xdr:col>
      <xdr:colOff>146050</xdr:colOff>
      <xdr:row>263</xdr:row>
      <xdr:rowOff>50800</xdr:rowOff>
    </xdr:to>
    <xdr:graphicFrame macro="">
      <xdr:nvGraphicFramePr>
        <xdr:cNvPr id="53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222250</xdr:colOff>
      <xdr:row>265</xdr:row>
      <xdr:rowOff>101600</xdr:rowOff>
    </xdr:from>
    <xdr:to>
      <xdr:col>11</xdr:col>
      <xdr:colOff>146050</xdr:colOff>
      <xdr:row>292</xdr:row>
      <xdr:rowOff>50800</xdr:rowOff>
    </xdr:to>
    <xdr:graphicFrame macro="">
      <xdr:nvGraphicFramePr>
        <xdr:cNvPr id="54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11</xdr:col>
      <xdr:colOff>501650</xdr:colOff>
      <xdr:row>236</xdr:row>
      <xdr:rowOff>76200</xdr:rowOff>
    </xdr:from>
    <xdr:to>
      <xdr:col>22</xdr:col>
      <xdr:colOff>425450</xdr:colOff>
      <xdr:row>263</xdr:row>
      <xdr:rowOff>25400</xdr:rowOff>
    </xdr:to>
    <xdr:graphicFrame macro="">
      <xdr:nvGraphicFramePr>
        <xdr:cNvPr id="55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23</xdr:col>
      <xdr:colOff>501650</xdr:colOff>
      <xdr:row>236</xdr:row>
      <xdr:rowOff>76200</xdr:rowOff>
    </xdr:from>
    <xdr:to>
      <xdr:col>34</xdr:col>
      <xdr:colOff>425450</xdr:colOff>
      <xdr:row>263</xdr:row>
      <xdr:rowOff>25400</xdr:rowOff>
    </xdr:to>
    <xdr:graphicFrame macro="">
      <xdr:nvGraphicFramePr>
        <xdr:cNvPr id="56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11</xdr:col>
      <xdr:colOff>501650</xdr:colOff>
      <xdr:row>265</xdr:row>
      <xdr:rowOff>76200</xdr:rowOff>
    </xdr:from>
    <xdr:to>
      <xdr:col>22</xdr:col>
      <xdr:colOff>425450</xdr:colOff>
      <xdr:row>292</xdr:row>
      <xdr:rowOff>25400</xdr:rowOff>
    </xdr:to>
    <xdr:graphicFrame macro="">
      <xdr:nvGraphicFramePr>
        <xdr:cNvPr id="57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23</xdr:col>
      <xdr:colOff>501650</xdr:colOff>
      <xdr:row>265</xdr:row>
      <xdr:rowOff>76200</xdr:rowOff>
    </xdr:from>
    <xdr:to>
      <xdr:col>34</xdr:col>
      <xdr:colOff>425450</xdr:colOff>
      <xdr:row>292</xdr:row>
      <xdr:rowOff>25400</xdr:rowOff>
    </xdr:to>
    <xdr:graphicFrame macro="">
      <xdr:nvGraphicFramePr>
        <xdr:cNvPr id="58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11</xdr:col>
      <xdr:colOff>558800</xdr:colOff>
      <xdr:row>294</xdr:row>
      <xdr:rowOff>76200</xdr:rowOff>
    </xdr:from>
    <xdr:to>
      <xdr:col>22</xdr:col>
      <xdr:colOff>482600</xdr:colOff>
      <xdr:row>321</xdr:row>
      <xdr:rowOff>25400</xdr:rowOff>
    </xdr:to>
    <xdr:graphicFrame macro="">
      <xdr:nvGraphicFramePr>
        <xdr:cNvPr id="60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234950</xdr:colOff>
      <xdr:row>294</xdr:row>
      <xdr:rowOff>76200</xdr:rowOff>
    </xdr:from>
    <xdr:to>
      <xdr:col>11</xdr:col>
      <xdr:colOff>158750</xdr:colOff>
      <xdr:row>321</xdr:row>
      <xdr:rowOff>25400</xdr:rowOff>
    </xdr:to>
    <xdr:graphicFrame macro="">
      <xdr:nvGraphicFramePr>
        <xdr:cNvPr id="67" name="Chart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23</xdr:col>
      <xdr:colOff>501650</xdr:colOff>
      <xdr:row>294</xdr:row>
      <xdr:rowOff>76200</xdr:rowOff>
    </xdr:from>
    <xdr:to>
      <xdr:col>34</xdr:col>
      <xdr:colOff>425450</xdr:colOff>
      <xdr:row>321</xdr:row>
      <xdr:rowOff>25400</xdr:rowOff>
    </xdr:to>
    <xdr:graphicFrame macro="">
      <xdr:nvGraphicFramePr>
        <xdr:cNvPr id="68" name="Chart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254000</xdr:colOff>
      <xdr:row>323</xdr:row>
      <xdr:rowOff>57150</xdr:rowOff>
    </xdr:from>
    <xdr:to>
      <xdr:col>11</xdr:col>
      <xdr:colOff>177800</xdr:colOff>
      <xdr:row>349</xdr:row>
      <xdr:rowOff>139700</xdr:rowOff>
    </xdr:to>
    <xdr:graphicFrame macro="">
      <xdr:nvGraphicFramePr>
        <xdr:cNvPr id="69" name="Chart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11</xdr:col>
      <xdr:colOff>558800</xdr:colOff>
      <xdr:row>323</xdr:row>
      <xdr:rowOff>76200</xdr:rowOff>
    </xdr:from>
    <xdr:to>
      <xdr:col>22</xdr:col>
      <xdr:colOff>482600</xdr:colOff>
      <xdr:row>350</xdr:row>
      <xdr:rowOff>6350</xdr:rowOff>
    </xdr:to>
    <xdr:graphicFrame macro="">
      <xdr:nvGraphicFramePr>
        <xdr:cNvPr id="70" name="Chart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23</xdr:col>
      <xdr:colOff>501650</xdr:colOff>
      <xdr:row>324</xdr:row>
      <xdr:rowOff>0</xdr:rowOff>
    </xdr:from>
    <xdr:to>
      <xdr:col>34</xdr:col>
      <xdr:colOff>425450</xdr:colOff>
      <xdr:row>350</xdr:row>
      <xdr:rowOff>82550</xdr:rowOff>
    </xdr:to>
    <xdr:graphicFrame macro="">
      <xdr:nvGraphicFramePr>
        <xdr:cNvPr id="71" name="Chart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292100</xdr:colOff>
      <xdr:row>352</xdr:row>
      <xdr:rowOff>38100</xdr:rowOff>
    </xdr:from>
    <xdr:to>
      <xdr:col>11</xdr:col>
      <xdr:colOff>215900</xdr:colOff>
      <xdr:row>378</xdr:row>
      <xdr:rowOff>120650</xdr:rowOff>
    </xdr:to>
    <xdr:graphicFrame macro="">
      <xdr:nvGraphicFramePr>
        <xdr:cNvPr id="72" name="Chart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11</xdr:col>
      <xdr:colOff>558800</xdr:colOff>
      <xdr:row>352</xdr:row>
      <xdr:rowOff>19050</xdr:rowOff>
    </xdr:from>
    <xdr:to>
      <xdr:col>22</xdr:col>
      <xdr:colOff>482600</xdr:colOff>
      <xdr:row>378</xdr:row>
      <xdr:rowOff>101600</xdr:rowOff>
    </xdr:to>
    <xdr:graphicFrame macro="">
      <xdr:nvGraphicFramePr>
        <xdr:cNvPr id="76" name="Chart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23</xdr:col>
      <xdr:colOff>539750</xdr:colOff>
      <xdr:row>352</xdr:row>
      <xdr:rowOff>38100</xdr:rowOff>
    </xdr:from>
    <xdr:to>
      <xdr:col>34</xdr:col>
      <xdr:colOff>463550</xdr:colOff>
      <xdr:row>378</xdr:row>
      <xdr:rowOff>120650</xdr:rowOff>
    </xdr:to>
    <xdr:graphicFrame macro="">
      <xdr:nvGraphicFramePr>
        <xdr:cNvPr id="77" name="Chart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311150</xdr:colOff>
      <xdr:row>380</xdr:row>
      <xdr:rowOff>114300</xdr:rowOff>
    </xdr:from>
    <xdr:to>
      <xdr:col>11</xdr:col>
      <xdr:colOff>234950</xdr:colOff>
      <xdr:row>407</xdr:row>
      <xdr:rowOff>63500</xdr:rowOff>
    </xdr:to>
    <xdr:graphicFrame macro="">
      <xdr:nvGraphicFramePr>
        <xdr:cNvPr id="78" name="Chart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11</xdr:col>
      <xdr:colOff>520700</xdr:colOff>
      <xdr:row>380</xdr:row>
      <xdr:rowOff>114300</xdr:rowOff>
    </xdr:from>
    <xdr:to>
      <xdr:col>22</xdr:col>
      <xdr:colOff>444500</xdr:colOff>
      <xdr:row>407</xdr:row>
      <xdr:rowOff>63500</xdr:rowOff>
    </xdr:to>
    <xdr:graphicFrame macro="">
      <xdr:nvGraphicFramePr>
        <xdr:cNvPr id="79" name="Chart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23</xdr:col>
      <xdr:colOff>520700</xdr:colOff>
      <xdr:row>380</xdr:row>
      <xdr:rowOff>133350</xdr:rowOff>
    </xdr:from>
    <xdr:to>
      <xdr:col>34</xdr:col>
      <xdr:colOff>444500</xdr:colOff>
      <xdr:row>407</xdr:row>
      <xdr:rowOff>82550</xdr:rowOff>
    </xdr:to>
    <xdr:graphicFrame macro="">
      <xdr:nvGraphicFramePr>
        <xdr:cNvPr id="80" name="Chart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311150</xdr:colOff>
      <xdr:row>409</xdr:row>
      <xdr:rowOff>76200</xdr:rowOff>
    </xdr:from>
    <xdr:to>
      <xdr:col>11</xdr:col>
      <xdr:colOff>234950</xdr:colOff>
      <xdr:row>436</xdr:row>
      <xdr:rowOff>6350</xdr:rowOff>
    </xdr:to>
    <xdr:graphicFrame macro="">
      <xdr:nvGraphicFramePr>
        <xdr:cNvPr id="81" name="Chart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11</xdr:col>
      <xdr:colOff>577850</xdr:colOff>
      <xdr:row>438</xdr:row>
      <xdr:rowOff>57150</xdr:rowOff>
    </xdr:from>
    <xdr:to>
      <xdr:col>22</xdr:col>
      <xdr:colOff>501650</xdr:colOff>
      <xdr:row>464</xdr:row>
      <xdr:rowOff>139700</xdr:rowOff>
    </xdr:to>
    <xdr:graphicFrame macro="">
      <xdr:nvGraphicFramePr>
        <xdr:cNvPr id="82" name="Chart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23</xdr:col>
      <xdr:colOff>520700</xdr:colOff>
      <xdr:row>467</xdr:row>
      <xdr:rowOff>0</xdr:rowOff>
    </xdr:from>
    <xdr:to>
      <xdr:col>34</xdr:col>
      <xdr:colOff>444500</xdr:colOff>
      <xdr:row>493</xdr:row>
      <xdr:rowOff>82550</xdr:rowOff>
    </xdr:to>
    <xdr:graphicFrame macro="">
      <xdr:nvGraphicFramePr>
        <xdr:cNvPr id="83" name="Chart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11</xdr:col>
      <xdr:colOff>539750</xdr:colOff>
      <xdr:row>409</xdr:row>
      <xdr:rowOff>76200</xdr:rowOff>
    </xdr:from>
    <xdr:to>
      <xdr:col>22</xdr:col>
      <xdr:colOff>463550</xdr:colOff>
      <xdr:row>436</xdr:row>
      <xdr:rowOff>6350</xdr:rowOff>
    </xdr:to>
    <xdr:graphicFrame macro="">
      <xdr:nvGraphicFramePr>
        <xdr:cNvPr id="84" name="Chart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23</xdr:col>
      <xdr:colOff>501650</xdr:colOff>
      <xdr:row>409</xdr:row>
      <xdr:rowOff>76200</xdr:rowOff>
    </xdr:from>
    <xdr:to>
      <xdr:col>34</xdr:col>
      <xdr:colOff>425450</xdr:colOff>
      <xdr:row>436</xdr:row>
      <xdr:rowOff>25400</xdr:rowOff>
    </xdr:to>
    <xdr:graphicFrame macro="">
      <xdr:nvGraphicFramePr>
        <xdr:cNvPr id="85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311150</xdr:colOff>
      <xdr:row>438</xdr:row>
      <xdr:rowOff>76200</xdr:rowOff>
    </xdr:from>
    <xdr:to>
      <xdr:col>11</xdr:col>
      <xdr:colOff>234950</xdr:colOff>
      <xdr:row>465</xdr:row>
      <xdr:rowOff>6350</xdr:rowOff>
    </xdr:to>
    <xdr:graphicFrame macro="">
      <xdr:nvGraphicFramePr>
        <xdr:cNvPr id="86" name="Chart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23</xdr:col>
      <xdr:colOff>501650</xdr:colOff>
      <xdr:row>438</xdr:row>
      <xdr:rowOff>76200</xdr:rowOff>
    </xdr:from>
    <xdr:to>
      <xdr:col>34</xdr:col>
      <xdr:colOff>425450</xdr:colOff>
      <xdr:row>465</xdr:row>
      <xdr:rowOff>6350</xdr:rowOff>
    </xdr:to>
    <xdr:graphicFrame macro="">
      <xdr:nvGraphicFramePr>
        <xdr:cNvPr id="87" name="Chart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11</xdr:col>
      <xdr:colOff>558800</xdr:colOff>
      <xdr:row>466</xdr:row>
      <xdr:rowOff>133350</xdr:rowOff>
    </xdr:from>
    <xdr:to>
      <xdr:col>22</xdr:col>
      <xdr:colOff>482600</xdr:colOff>
      <xdr:row>493</xdr:row>
      <xdr:rowOff>82550</xdr:rowOff>
    </xdr:to>
    <xdr:graphicFrame macro="">
      <xdr:nvGraphicFramePr>
        <xdr:cNvPr id="88" name="Chart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330200</xdr:colOff>
      <xdr:row>466</xdr:row>
      <xdr:rowOff>133350</xdr:rowOff>
    </xdr:from>
    <xdr:to>
      <xdr:col>11</xdr:col>
      <xdr:colOff>254000</xdr:colOff>
      <xdr:row>493</xdr:row>
      <xdr:rowOff>82550</xdr:rowOff>
    </xdr:to>
    <xdr:graphicFrame macro="">
      <xdr:nvGraphicFramePr>
        <xdr:cNvPr id="89" name="Chart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311150</xdr:colOff>
      <xdr:row>495</xdr:row>
      <xdr:rowOff>76200</xdr:rowOff>
    </xdr:from>
    <xdr:to>
      <xdr:col>11</xdr:col>
      <xdr:colOff>234950</xdr:colOff>
      <xdr:row>522</xdr:row>
      <xdr:rowOff>25400</xdr:rowOff>
    </xdr:to>
    <xdr:graphicFrame macro="">
      <xdr:nvGraphicFramePr>
        <xdr:cNvPr id="97" name="Chart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11</xdr:col>
      <xdr:colOff>577850</xdr:colOff>
      <xdr:row>495</xdr:row>
      <xdr:rowOff>76200</xdr:rowOff>
    </xdr:from>
    <xdr:to>
      <xdr:col>22</xdr:col>
      <xdr:colOff>501650</xdr:colOff>
      <xdr:row>522</xdr:row>
      <xdr:rowOff>25400</xdr:rowOff>
    </xdr:to>
    <xdr:graphicFrame macro="">
      <xdr:nvGraphicFramePr>
        <xdr:cNvPr id="98" name="Chart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23</xdr:col>
      <xdr:colOff>514350</xdr:colOff>
      <xdr:row>495</xdr:row>
      <xdr:rowOff>76200</xdr:rowOff>
    </xdr:from>
    <xdr:to>
      <xdr:col>34</xdr:col>
      <xdr:colOff>438150</xdr:colOff>
      <xdr:row>522</xdr:row>
      <xdr:rowOff>25400</xdr:rowOff>
    </xdr:to>
    <xdr:graphicFrame macro="">
      <xdr:nvGraphicFramePr>
        <xdr:cNvPr id="99" name="Chart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330200</xdr:colOff>
      <xdr:row>524</xdr:row>
      <xdr:rowOff>0</xdr:rowOff>
    </xdr:from>
    <xdr:to>
      <xdr:col>11</xdr:col>
      <xdr:colOff>254000</xdr:colOff>
      <xdr:row>550</xdr:row>
      <xdr:rowOff>82550</xdr:rowOff>
    </xdr:to>
    <xdr:graphicFrame macro="">
      <xdr:nvGraphicFramePr>
        <xdr:cNvPr id="100" name="Chart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11</xdr:col>
      <xdr:colOff>577850</xdr:colOff>
      <xdr:row>524</xdr:row>
      <xdr:rowOff>19050</xdr:rowOff>
    </xdr:from>
    <xdr:to>
      <xdr:col>22</xdr:col>
      <xdr:colOff>501650</xdr:colOff>
      <xdr:row>550</xdr:row>
      <xdr:rowOff>101600</xdr:rowOff>
    </xdr:to>
    <xdr:graphicFrame macro="">
      <xdr:nvGraphicFramePr>
        <xdr:cNvPr id="101" name="Chart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23</xdr:col>
      <xdr:colOff>539750</xdr:colOff>
      <xdr:row>524</xdr:row>
      <xdr:rowOff>19050</xdr:rowOff>
    </xdr:from>
    <xdr:to>
      <xdr:col>34</xdr:col>
      <xdr:colOff>463550</xdr:colOff>
      <xdr:row>550</xdr:row>
      <xdr:rowOff>101600</xdr:rowOff>
    </xdr:to>
    <xdr:graphicFrame macro="">
      <xdr:nvGraphicFramePr>
        <xdr:cNvPr id="102" name="Chart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0</xdr:col>
      <xdr:colOff>298450</xdr:colOff>
      <xdr:row>553</xdr:row>
      <xdr:rowOff>0</xdr:rowOff>
    </xdr:from>
    <xdr:to>
      <xdr:col>11</xdr:col>
      <xdr:colOff>222250</xdr:colOff>
      <xdr:row>579</xdr:row>
      <xdr:rowOff>76200</xdr:rowOff>
    </xdr:to>
    <xdr:graphicFrame macro="">
      <xdr:nvGraphicFramePr>
        <xdr:cNvPr id="125" name="Chart 1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11</xdr:col>
      <xdr:colOff>577850</xdr:colOff>
      <xdr:row>553</xdr:row>
      <xdr:rowOff>50800</xdr:rowOff>
    </xdr:from>
    <xdr:to>
      <xdr:col>22</xdr:col>
      <xdr:colOff>501650</xdr:colOff>
      <xdr:row>579</xdr:row>
      <xdr:rowOff>127000</xdr:rowOff>
    </xdr:to>
    <xdr:graphicFrame macro="">
      <xdr:nvGraphicFramePr>
        <xdr:cNvPr id="126" name="Chart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23</xdr:col>
      <xdr:colOff>501650</xdr:colOff>
      <xdr:row>553</xdr:row>
      <xdr:rowOff>50800</xdr:rowOff>
    </xdr:from>
    <xdr:to>
      <xdr:col>34</xdr:col>
      <xdr:colOff>425450</xdr:colOff>
      <xdr:row>579</xdr:row>
      <xdr:rowOff>127000</xdr:rowOff>
    </xdr:to>
    <xdr:graphicFrame macro="">
      <xdr:nvGraphicFramePr>
        <xdr:cNvPr id="127" name="Chart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0</xdr:col>
      <xdr:colOff>247650</xdr:colOff>
      <xdr:row>582</xdr:row>
      <xdr:rowOff>0</xdr:rowOff>
    </xdr:from>
    <xdr:to>
      <xdr:col>11</xdr:col>
      <xdr:colOff>171450</xdr:colOff>
      <xdr:row>608</xdr:row>
      <xdr:rowOff>76200</xdr:rowOff>
    </xdr:to>
    <xdr:graphicFrame macro="">
      <xdr:nvGraphicFramePr>
        <xdr:cNvPr id="128" name="Chart 1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11</xdr:col>
      <xdr:colOff>527050</xdr:colOff>
      <xdr:row>582</xdr:row>
      <xdr:rowOff>50800</xdr:rowOff>
    </xdr:from>
    <xdr:to>
      <xdr:col>22</xdr:col>
      <xdr:colOff>450850</xdr:colOff>
      <xdr:row>608</xdr:row>
      <xdr:rowOff>127000</xdr:rowOff>
    </xdr:to>
    <xdr:graphicFrame macro="">
      <xdr:nvGraphicFramePr>
        <xdr:cNvPr id="129" name="Chart 1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23</xdr:col>
      <xdr:colOff>450850</xdr:colOff>
      <xdr:row>582</xdr:row>
      <xdr:rowOff>50800</xdr:rowOff>
    </xdr:from>
    <xdr:to>
      <xdr:col>34</xdr:col>
      <xdr:colOff>374650</xdr:colOff>
      <xdr:row>608</xdr:row>
      <xdr:rowOff>127000</xdr:rowOff>
    </xdr:to>
    <xdr:graphicFrame macro="">
      <xdr:nvGraphicFramePr>
        <xdr:cNvPr id="130" name="Chart 1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0</xdr:col>
      <xdr:colOff>247650</xdr:colOff>
      <xdr:row>610</xdr:row>
      <xdr:rowOff>127000</xdr:rowOff>
    </xdr:from>
    <xdr:to>
      <xdr:col>11</xdr:col>
      <xdr:colOff>171450</xdr:colOff>
      <xdr:row>637</xdr:row>
      <xdr:rowOff>76200</xdr:rowOff>
    </xdr:to>
    <xdr:graphicFrame macro="">
      <xdr:nvGraphicFramePr>
        <xdr:cNvPr id="131" name="Chart 1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11</xdr:col>
      <xdr:colOff>527050</xdr:colOff>
      <xdr:row>611</xdr:row>
      <xdr:rowOff>25400</xdr:rowOff>
    </xdr:from>
    <xdr:to>
      <xdr:col>22</xdr:col>
      <xdr:colOff>450850</xdr:colOff>
      <xdr:row>637</xdr:row>
      <xdr:rowOff>101600</xdr:rowOff>
    </xdr:to>
    <xdr:graphicFrame macro="">
      <xdr:nvGraphicFramePr>
        <xdr:cNvPr id="132" name="Chart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23</xdr:col>
      <xdr:colOff>450850</xdr:colOff>
      <xdr:row>611</xdr:row>
      <xdr:rowOff>25400</xdr:rowOff>
    </xdr:from>
    <xdr:to>
      <xdr:col>34</xdr:col>
      <xdr:colOff>374650</xdr:colOff>
      <xdr:row>637</xdr:row>
      <xdr:rowOff>101600</xdr:rowOff>
    </xdr:to>
    <xdr:graphicFrame macro="">
      <xdr:nvGraphicFramePr>
        <xdr:cNvPr id="133" name="Chart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0</xdr:col>
      <xdr:colOff>196850</xdr:colOff>
      <xdr:row>639</xdr:row>
      <xdr:rowOff>127000</xdr:rowOff>
    </xdr:from>
    <xdr:to>
      <xdr:col>11</xdr:col>
      <xdr:colOff>120650</xdr:colOff>
      <xdr:row>666</xdr:row>
      <xdr:rowOff>76200</xdr:rowOff>
    </xdr:to>
    <xdr:graphicFrame macro="">
      <xdr:nvGraphicFramePr>
        <xdr:cNvPr id="134" name="Chart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11</xdr:col>
      <xdr:colOff>533400</xdr:colOff>
      <xdr:row>640</xdr:row>
      <xdr:rowOff>6350</xdr:rowOff>
    </xdr:from>
    <xdr:to>
      <xdr:col>22</xdr:col>
      <xdr:colOff>457200</xdr:colOff>
      <xdr:row>666</xdr:row>
      <xdr:rowOff>82550</xdr:rowOff>
    </xdr:to>
    <xdr:graphicFrame macro="">
      <xdr:nvGraphicFramePr>
        <xdr:cNvPr id="135" name="Chart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23</xdr:col>
      <xdr:colOff>400050</xdr:colOff>
      <xdr:row>640</xdr:row>
      <xdr:rowOff>25400</xdr:rowOff>
    </xdr:from>
    <xdr:to>
      <xdr:col>34</xdr:col>
      <xdr:colOff>323850</xdr:colOff>
      <xdr:row>666</xdr:row>
      <xdr:rowOff>101600</xdr:rowOff>
    </xdr:to>
    <xdr:graphicFrame macro="">
      <xdr:nvGraphicFramePr>
        <xdr:cNvPr id="136" name="Chart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0</xdr:col>
      <xdr:colOff>196850</xdr:colOff>
      <xdr:row>669</xdr:row>
      <xdr:rowOff>50800</xdr:rowOff>
    </xdr:from>
    <xdr:to>
      <xdr:col>11</xdr:col>
      <xdr:colOff>120650</xdr:colOff>
      <xdr:row>695</xdr:row>
      <xdr:rowOff>127000</xdr:rowOff>
    </xdr:to>
    <xdr:graphicFrame macro="">
      <xdr:nvGraphicFramePr>
        <xdr:cNvPr id="137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11</xdr:col>
      <xdr:colOff>552450</xdr:colOff>
      <xdr:row>669</xdr:row>
      <xdr:rowOff>76200</xdr:rowOff>
    </xdr:from>
    <xdr:to>
      <xdr:col>22</xdr:col>
      <xdr:colOff>476250</xdr:colOff>
      <xdr:row>696</xdr:row>
      <xdr:rowOff>25400</xdr:rowOff>
    </xdr:to>
    <xdr:graphicFrame macro="">
      <xdr:nvGraphicFramePr>
        <xdr:cNvPr id="138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23</xdr:col>
      <xdr:colOff>400050</xdr:colOff>
      <xdr:row>669</xdr:row>
      <xdr:rowOff>76200</xdr:rowOff>
    </xdr:from>
    <xdr:to>
      <xdr:col>34</xdr:col>
      <xdr:colOff>323850</xdr:colOff>
      <xdr:row>696</xdr:row>
      <xdr:rowOff>25400</xdr:rowOff>
    </xdr:to>
    <xdr:graphicFrame macro="">
      <xdr:nvGraphicFramePr>
        <xdr:cNvPr id="139" name="Chart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0</xdr:col>
      <xdr:colOff>146050</xdr:colOff>
      <xdr:row>698</xdr:row>
      <xdr:rowOff>50800</xdr:rowOff>
    </xdr:from>
    <xdr:to>
      <xdr:col>11</xdr:col>
      <xdr:colOff>69850</xdr:colOff>
      <xdr:row>724</xdr:row>
      <xdr:rowOff>127000</xdr:rowOff>
    </xdr:to>
    <xdr:graphicFrame macro="">
      <xdr:nvGraphicFramePr>
        <xdr:cNvPr id="140" name="Chart 1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11</xdr:col>
      <xdr:colOff>558800</xdr:colOff>
      <xdr:row>698</xdr:row>
      <xdr:rowOff>76200</xdr:rowOff>
    </xdr:from>
    <xdr:to>
      <xdr:col>22</xdr:col>
      <xdr:colOff>482600</xdr:colOff>
      <xdr:row>725</xdr:row>
      <xdr:rowOff>6350</xdr:rowOff>
    </xdr:to>
    <xdr:graphicFrame macro="">
      <xdr:nvGraphicFramePr>
        <xdr:cNvPr id="141" name="Chart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23</xdr:col>
      <xdr:colOff>349250</xdr:colOff>
      <xdr:row>698</xdr:row>
      <xdr:rowOff>76200</xdr:rowOff>
    </xdr:from>
    <xdr:to>
      <xdr:col>34</xdr:col>
      <xdr:colOff>273050</xdr:colOff>
      <xdr:row>725</xdr:row>
      <xdr:rowOff>25400</xdr:rowOff>
    </xdr:to>
    <xdr:graphicFrame macro="">
      <xdr:nvGraphicFramePr>
        <xdr:cNvPr id="142" name="Chart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0</xdr:col>
      <xdr:colOff>152400</xdr:colOff>
      <xdr:row>727</xdr:row>
      <xdr:rowOff>0</xdr:rowOff>
    </xdr:from>
    <xdr:to>
      <xdr:col>11</xdr:col>
      <xdr:colOff>76200</xdr:colOff>
      <xdr:row>753</xdr:row>
      <xdr:rowOff>76200</xdr:rowOff>
    </xdr:to>
    <xdr:graphicFrame macro="">
      <xdr:nvGraphicFramePr>
        <xdr:cNvPr id="143" name="Chart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11</xdr:col>
      <xdr:colOff>546100</xdr:colOff>
      <xdr:row>727</xdr:row>
      <xdr:rowOff>44450</xdr:rowOff>
    </xdr:from>
    <xdr:to>
      <xdr:col>22</xdr:col>
      <xdr:colOff>469900</xdr:colOff>
      <xdr:row>753</xdr:row>
      <xdr:rowOff>127000</xdr:rowOff>
    </xdr:to>
    <xdr:graphicFrame macro="">
      <xdr:nvGraphicFramePr>
        <xdr:cNvPr id="144" name="Chart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23</xdr:col>
      <xdr:colOff>355600</xdr:colOff>
      <xdr:row>727</xdr:row>
      <xdr:rowOff>44450</xdr:rowOff>
    </xdr:from>
    <xdr:to>
      <xdr:col>34</xdr:col>
      <xdr:colOff>279400</xdr:colOff>
      <xdr:row>753</xdr:row>
      <xdr:rowOff>127000</xdr:rowOff>
    </xdr:to>
    <xdr:graphicFrame macro="">
      <xdr:nvGraphicFramePr>
        <xdr:cNvPr id="145" name="Chart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0</xdr:col>
      <xdr:colOff>101600</xdr:colOff>
      <xdr:row>756</xdr:row>
      <xdr:rowOff>0</xdr:rowOff>
    </xdr:from>
    <xdr:to>
      <xdr:col>11</xdr:col>
      <xdr:colOff>25400</xdr:colOff>
      <xdr:row>782</xdr:row>
      <xdr:rowOff>76200</xdr:rowOff>
    </xdr:to>
    <xdr:graphicFrame macro="">
      <xdr:nvGraphicFramePr>
        <xdr:cNvPr id="146" name="Chart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11</xdr:col>
      <xdr:colOff>533400</xdr:colOff>
      <xdr:row>756</xdr:row>
      <xdr:rowOff>63500</xdr:rowOff>
    </xdr:from>
    <xdr:to>
      <xdr:col>22</xdr:col>
      <xdr:colOff>457200</xdr:colOff>
      <xdr:row>782</xdr:row>
      <xdr:rowOff>146050</xdr:rowOff>
    </xdr:to>
    <xdr:graphicFrame macro="">
      <xdr:nvGraphicFramePr>
        <xdr:cNvPr id="147" name="Chart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23</xdr:col>
      <xdr:colOff>304800</xdr:colOff>
      <xdr:row>756</xdr:row>
      <xdr:rowOff>44450</xdr:rowOff>
    </xdr:from>
    <xdr:to>
      <xdr:col>34</xdr:col>
      <xdr:colOff>228600</xdr:colOff>
      <xdr:row>782</xdr:row>
      <xdr:rowOff>127000</xdr:rowOff>
    </xdr:to>
    <xdr:graphicFrame macro="">
      <xdr:nvGraphicFramePr>
        <xdr:cNvPr id="148" name="Chart 1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0</xdr:col>
      <xdr:colOff>95250</xdr:colOff>
      <xdr:row>784</xdr:row>
      <xdr:rowOff>76200</xdr:rowOff>
    </xdr:from>
    <xdr:to>
      <xdr:col>11</xdr:col>
      <xdr:colOff>19050</xdr:colOff>
      <xdr:row>811</xdr:row>
      <xdr:rowOff>19050</xdr:rowOff>
    </xdr:to>
    <xdr:graphicFrame macro="">
      <xdr:nvGraphicFramePr>
        <xdr:cNvPr id="149" name="Chart 1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11</xdr:col>
      <xdr:colOff>546100</xdr:colOff>
      <xdr:row>784</xdr:row>
      <xdr:rowOff>120650</xdr:rowOff>
    </xdr:from>
    <xdr:to>
      <xdr:col>22</xdr:col>
      <xdr:colOff>469900</xdr:colOff>
      <xdr:row>811</xdr:row>
      <xdr:rowOff>69850</xdr:rowOff>
    </xdr:to>
    <xdr:graphicFrame macro="">
      <xdr:nvGraphicFramePr>
        <xdr:cNvPr id="150" name="Chart 1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23</xdr:col>
      <xdr:colOff>298450</xdr:colOff>
      <xdr:row>784</xdr:row>
      <xdr:rowOff>120650</xdr:rowOff>
    </xdr:from>
    <xdr:to>
      <xdr:col>34</xdr:col>
      <xdr:colOff>222250</xdr:colOff>
      <xdr:row>811</xdr:row>
      <xdr:rowOff>69850</xdr:rowOff>
    </xdr:to>
    <xdr:graphicFrame macro="">
      <xdr:nvGraphicFramePr>
        <xdr:cNvPr id="151" name="Chart 1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0</xdr:col>
      <xdr:colOff>44450</xdr:colOff>
      <xdr:row>813</xdr:row>
      <xdr:rowOff>76200</xdr:rowOff>
    </xdr:from>
    <xdr:to>
      <xdr:col>10</xdr:col>
      <xdr:colOff>577850</xdr:colOff>
      <xdr:row>840</xdr:row>
      <xdr:rowOff>19050</xdr:rowOff>
    </xdr:to>
    <xdr:graphicFrame macro="">
      <xdr:nvGraphicFramePr>
        <xdr:cNvPr id="152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11</xdr:col>
      <xdr:colOff>571500</xdr:colOff>
      <xdr:row>813</xdr:row>
      <xdr:rowOff>82550</xdr:rowOff>
    </xdr:from>
    <xdr:to>
      <xdr:col>22</xdr:col>
      <xdr:colOff>495300</xdr:colOff>
      <xdr:row>840</xdr:row>
      <xdr:rowOff>31750</xdr:rowOff>
    </xdr:to>
    <xdr:graphicFrame macro="">
      <xdr:nvGraphicFramePr>
        <xdr:cNvPr id="153" name="Chart 1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23</xdr:col>
      <xdr:colOff>247650</xdr:colOff>
      <xdr:row>813</xdr:row>
      <xdr:rowOff>120650</xdr:rowOff>
    </xdr:from>
    <xdr:to>
      <xdr:col>34</xdr:col>
      <xdr:colOff>171450</xdr:colOff>
      <xdr:row>840</xdr:row>
      <xdr:rowOff>69850</xdr:rowOff>
    </xdr:to>
    <xdr:graphicFrame macro="">
      <xdr:nvGraphicFramePr>
        <xdr:cNvPr id="154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57150</xdr:colOff>
      <xdr:row>842</xdr:row>
      <xdr:rowOff>57150</xdr:rowOff>
    </xdr:from>
    <xdr:to>
      <xdr:col>10</xdr:col>
      <xdr:colOff>590550</xdr:colOff>
      <xdr:row>868</xdr:row>
      <xdr:rowOff>133350</xdr:rowOff>
    </xdr:to>
    <xdr:graphicFrame macro="">
      <xdr:nvGraphicFramePr>
        <xdr:cNvPr id="155" name="Chart 1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11</xdr:col>
      <xdr:colOff>584200</xdr:colOff>
      <xdr:row>842</xdr:row>
      <xdr:rowOff>82550</xdr:rowOff>
    </xdr:from>
    <xdr:to>
      <xdr:col>22</xdr:col>
      <xdr:colOff>508000</xdr:colOff>
      <xdr:row>869</xdr:row>
      <xdr:rowOff>31750</xdr:rowOff>
    </xdr:to>
    <xdr:graphicFrame macro="">
      <xdr:nvGraphicFramePr>
        <xdr:cNvPr id="156" name="Chart 1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23</xdr:col>
      <xdr:colOff>260350</xdr:colOff>
      <xdr:row>842</xdr:row>
      <xdr:rowOff>82550</xdr:rowOff>
    </xdr:from>
    <xdr:to>
      <xdr:col>34</xdr:col>
      <xdr:colOff>184150</xdr:colOff>
      <xdr:row>869</xdr:row>
      <xdr:rowOff>31750</xdr:rowOff>
    </xdr:to>
    <xdr:graphicFrame macro="">
      <xdr:nvGraphicFramePr>
        <xdr:cNvPr id="157" name="Chart 1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0</xdr:col>
      <xdr:colOff>6350</xdr:colOff>
      <xdr:row>871</xdr:row>
      <xdr:rowOff>57150</xdr:rowOff>
    </xdr:from>
    <xdr:to>
      <xdr:col>10</xdr:col>
      <xdr:colOff>539750</xdr:colOff>
      <xdr:row>897</xdr:row>
      <xdr:rowOff>133350</xdr:rowOff>
    </xdr:to>
    <xdr:graphicFrame macro="">
      <xdr:nvGraphicFramePr>
        <xdr:cNvPr id="158" name="Chart 1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11</xdr:col>
      <xdr:colOff>571500</xdr:colOff>
      <xdr:row>871</xdr:row>
      <xdr:rowOff>101600</xdr:rowOff>
    </xdr:from>
    <xdr:to>
      <xdr:col>22</xdr:col>
      <xdr:colOff>495300</xdr:colOff>
      <xdr:row>898</xdr:row>
      <xdr:rowOff>50800</xdr:rowOff>
    </xdr:to>
    <xdr:graphicFrame macro="">
      <xdr:nvGraphicFramePr>
        <xdr:cNvPr id="159" name="Chart 1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23</xdr:col>
      <xdr:colOff>209550</xdr:colOff>
      <xdr:row>871</xdr:row>
      <xdr:rowOff>82550</xdr:rowOff>
    </xdr:from>
    <xdr:to>
      <xdr:col>34</xdr:col>
      <xdr:colOff>133350</xdr:colOff>
      <xdr:row>898</xdr:row>
      <xdr:rowOff>31750</xdr:rowOff>
    </xdr:to>
    <xdr:graphicFrame macro="">
      <xdr:nvGraphicFramePr>
        <xdr:cNvPr id="160" name="Chart 1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0</xdr:col>
      <xdr:colOff>0</xdr:colOff>
      <xdr:row>900</xdr:row>
      <xdr:rowOff>0</xdr:rowOff>
    </xdr:from>
    <xdr:to>
      <xdr:col>10</xdr:col>
      <xdr:colOff>533400</xdr:colOff>
      <xdr:row>926</xdr:row>
      <xdr:rowOff>76200</xdr:rowOff>
    </xdr:to>
    <xdr:graphicFrame macro="">
      <xdr:nvGraphicFramePr>
        <xdr:cNvPr id="161" name="Chart 1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11</xdr:col>
      <xdr:colOff>546100</xdr:colOff>
      <xdr:row>900</xdr:row>
      <xdr:rowOff>63500</xdr:rowOff>
    </xdr:from>
    <xdr:to>
      <xdr:col>22</xdr:col>
      <xdr:colOff>469900</xdr:colOff>
      <xdr:row>926</xdr:row>
      <xdr:rowOff>146050</xdr:rowOff>
    </xdr:to>
    <xdr:graphicFrame macro="">
      <xdr:nvGraphicFramePr>
        <xdr:cNvPr id="162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23</xdr:col>
      <xdr:colOff>203200</xdr:colOff>
      <xdr:row>900</xdr:row>
      <xdr:rowOff>44450</xdr:rowOff>
    </xdr:from>
    <xdr:to>
      <xdr:col>34</xdr:col>
      <xdr:colOff>127000</xdr:colOff>
      <xdr:row>926</xdr:row>
      <xdr:rowOff>127000</xdr:rowOff>
    </xdr:to>
    <xdr:graphicFrame macro="">
      <xdr:nvGraphicFramePr>
        <xdr:cNvPr id="163" name="Chart 1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0</xdr:col>
      <xdr:colOff>44450</xdr:colOff>
      <xdr:row>929</xdr:row>
      <xdr:rowOff>0</xdr:rowOff>
    </xdr:from>
    <xdr:to>
      <xdr:col>10</xdr:col>
      <xdr:colOff>577850</xdr:colOff>
      <xdr:row>955</xdr:row>
      <xdr:rowOff>76200</xdr:rowOff>
    </xdr:to>
    <xdr:graphicFrame macro="">
      <xdr:nvGraphicFramePr>
        <xdr:cNvPr id="164" name="Chart 1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11</xdr:col>
      <xdr:colOff>495300</xdr:colOff>
      <xdr:row>929</xdr:row>
      <xdr:rowOff>6350</xdr:rowOff>
    </xdr:from>
    <xdr:to>
      <xdr:col>22</xdr:col>
      <xdr:colOff>419100</xdr:colOff>
      <xdr:row>955</xdr:row>
      <xdr:rowOff>88900</xdr:rowOff>
    </xdr:to>
    <xdr:graphicFrame macro="">
      <xdr:nvGraphicFramePr>
        <xdr:cNvPr id="165" name="Chart 1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23</xdr:col>
      <xdr:colOff>152400</xdr:colOff>
      <xdr:row>929</xdr:row>
      <xdr:rowOff>44450</xdr:rowOff>
    </xdr:from>
    <xdr:to>
      <xdr:col>34</xdr:col>
      <xdr:colOff>76200</xdr:colOff>
      <xdr:row>955</xdr:row>
      <xdr:rowOff>127000</xdr:rowOff>
    </xdr:to>
    <xdr:graphicFrame macro="">
      <xdr:nvGraphicFramePr>
        <xdr:cNvPr id="166" name="Chart 1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190500</xdr:colOff>
      <xdr:row>119</xdr:row>
      <xdr:rowOff>76200</xdr:rowOff>
    </xdr:from>
    <xdr:to>
      <xdr:col>11</xdr:col>
      <xdr:colOff>114300</xdr:colOff>
      <xdr:row>146</xdr:row>
      <xdr:rowOff>6350</xdr:rowOff>
    </xdr:to>
    <xdr:graphicFrame macro="">
      <xdr:nvGraphicFramePr>
        <xdr:cNvPr id="103" name="Chart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24</xdr:col>
      <xdr:colOff>0</xdr:colOff>
      <xdr:row>119</xdr:row>
      <xdr:rowOff>76200</xdr:rowOff>
    </xdr:from>
    <xdr:to>
      <xdr:col>34</xdr:col>
      <xdr:colOff>533400</xdr:colOff>
      <xdr:row>146</xdr:row>
      <xdr:rowOff>6350</xdr:rowOff>
    </xdr:to>
    <xdr:graphicFrame macro="">
      <xdr:nvGraphicFramePr>
        <xdr:cNvPr id="104" name="Chart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12</xdr:col>
      <xdr:colOff>19050</xdr:colOff>
      <xdr:row>119</xdr:row>
      <xdr:rowOff>95250</xdr:rowOff>
    </xdr:from>
    <xdr:to>
      <xdr:col>22</xdr:col>
      <xdr:colOff>552450</xdr:colOff>
      <xdr:row>146</xdr:row>
      <xdr:rowOff>25400</xdr:rowOff>
    </xdr:to>
    <xdr:graphicFrame macro="">
      <xdr:nvGraphicFramePr>
        <xdr:cNvPr id="105" name="Chart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0</xdr:col>
      <xdr:colOff>0</xdr:colOff>
      <xdr:row>958</xdr:row>
      <xdr:rowOff>0</xdr:rowOff>
    </xdr:from>
    <xdr:to>
      <xdr:col>10</xdr:col>
      <xdr:colOff>533400</xdr:colOff>
      <xdr:row>984</xdr:row>
      <xdr:rowOff>76200</xdr:rowOff>
    </xdr:to>
    <xdr:graphicFrame macro="">
      <xdr:nvGraphicFramePr>
        <xdr:cNvPr id="109" name="Chart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11</xdr:col>
      <xdr:colOff>495300</xdr:colOff>
      <xdr:row>958</xdr:row>
      <xdr:rowOff>0</xdr:rowOff>
    </xdr:from>
    <xdr:to>
      <xdr:col>22</xdr:col>
      <xdr:colOff>419100</xdr:colOff>
      <xdr:row>984</xdr:row>
      <xdr:rowOff>76200</xdr:rowOff>
    </xdr:to>
    <xdr:graphicFrame macro="">
      <xdr:nvGraphicFramePr>
        <xdr:cNvPr id="110" name="Chart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23</xdr:col>
      <xdr:colOff>171450</xdr:colOff>
      <xdr:row>958</xdr:row>
      <xdr:rowOff>19050</xdr:rowOff>
    </xdr:from>
    <xdr:to>
      <xdr:col>34</xdr:col>
      <xdr:colOff>95250</xdr:colOff>
      <xdr:row>984</xdr:row>
      <xdr:rowOff>95250</xdr:rowOff>
    </xdr:to>
    <xdr:graphicFrame macro="">
      <xdr:nvGraphicFramePr>
        <xdr:cNvPr id="111" name="Chart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35</xdr:col>
      <xdr:colOff>552450</xdr:colOff>
      <xdr:row>265</xdr:row>
      <xdr:rowOff>101600</xdr:rowOff>
    </xdr:from>
    <xdr:to>
      <xdr:col>46</xdr:col>
      <xdr:colOff>476250</xdr:colOff>
      <xdr:row>292</xdr:row>
      <xdr:rowOff>50800</xdr:rowOff>
    </xdr:to>
    <xdr:graphicFrame macro="">
      <xdr:nvGraphicFramePr>
        <xdr:cNvPr id="106" name="Chart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47</xdr:col>
      <xdr:colOff>222250</xdr:colOff>
      <xdr:row>265</xdr:row>
      <xdr:rowOff>76200</xdr:rowOff>
    </xdr:from>
    <xdr:to>
      <xdr:col>58</xdr:col>
      <xdr:colOff>146050</xdr:colOff>
      <xdr:row>292</xdr:row>
      <xdr:rowOff>25400</xdr:rowOff>
    </xdr:to>
    <xdr:graphicFrame macro="">
      <xdr:nvGraphicFramePr>
        <xdr:cNvPr id="107" name="Chart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59</xdr:col>
      <xdr:colOff>222250</xdr:colOff>
      <xdr:row>265</xdr:row>
      <xdr:rowOff>76200</xdr:rowOff>
    </xdr:from>
    <xdr:to>
      <xdr:col>70</xdr:col>
      <xdr:colOff>146050</xdr:colOff>
      <xdr:row>292</xdr:row>
      <xdr:rowOff>25400</xdr:rowOff>
    </xdr:to>
    <xdr:graphicFrame macro="">
      <xdr:nvGraphicFramePr>
        <xdr:cNvPr id="108" name="Chart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0</xdr:col>
      <xdr:colOff>171450</xdr:colOff>
      <xdr:row>1</xdr:row>
      <xdr:rowOff>133350</xdr:rowOff>
    </xdr:from>
    <xdr:to>
      <xdr:col>11</xdr:col>
      <xdr:colOff>95250</xdr:colOff>
      <xdr:row>28</xdr:row>
      <xdr:rowOff>63500</xdr:rowOff>
    </xdr:to>
    <xdr:graphicFrame macro="">
      <xdr:nvGraphicFramePr>
        <xdr:cNvPr id="112" name="Chart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35</xdr:col>
      <xdr:colOff>266700</xdr:colOff>
      <xdr:row>30</xdr:row>
      <xdr:rowOff>57150</xdr:rowOff>
    </xdr:from>
    <xdr:to>
      <xdr:col>46</xdr:col>
      <xdr:colOff>190500</xdr:colOff>
      <xdr:row>56</xdr:row>
      <xdr:rowOff>158750</xdr:rowOff>
    </xdr:to>
    <xdr:graphicFrame macro="">
      <xdr:nvGraphicFramePr>
        <xdr:cNvPr id="113" name="Chart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35</xdr:col>
      <xdr:colOff>552450</xdr:colOff>
      <xdr:row>119</xdr:row>
      <xdr:rowOff>76200</xdr:rowOff>
    </xdr:from>
    <xdr:to>
      <xdr:col>46</xdr:col>
      <xdr:colOff>476250</xdr:colOff>
      <xdr:row>146</xdr:row>
      <xdr:rowOff>6350</xdr:rowOff>
    </xdr:to>
    <xdr:graphicFrame macro="">
      <xdr:nvGraphicFramePr>
        <xdr:cNvPr id="114" name="Chart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35</xdr:col>
      <xdr:colOff>552450</xdr:colOff>
      <xdr:row>294</xdr:row>
      <xdr:rowOff>133350</xdr:rowOff>
    </xdr:from>
    <xdr:to>
      <xdr:col>46</xdr:col>
      <xdr:colOff>476250</xdr:colOff>
      <xdr:row>321</xdr:row>
      <xdr:rowOff>63500</xdr:rowOff>
    </xdr:to>
    <xdr:graphicFrame macro="">
      <xdr:nvGraphicFramePr>
        <xdr:cNvPr id="115" name="Chart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195580</xdr:colOff>
      <xdr:row>1</xdr:row>
      <xdr:rowOff>25400</xdr:rowOff>
    </xdr:from>
    <xdr:to>
      <xdr:col>47</xdr:col>
      <xdr:colOff>594360</xdr:colOff>
      <xdr:row>66</xdr:row>
      <xdr:rowOff>160712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0</xdr:row>
      <xdr:rowOff>30480</xdr:rowOff>
    </xdr:from>
    <xdr:to>
      <xdr:col>19</xdr:col>
      <xdr:colOff>594360</xdr:colOff>
      <xdr:row>29</xdr:row>
      <xdr:rowOff>137160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30480</xdr:rowOff>
    </xdr:from>
    <xdr:to>
      <xdr:col>19</xdr:col>
      <xdr:colOff>419100</xdr:colOff>
      <xdr:row>30</xdr:row>
      <xdr:rowOff>60960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68580</xdr:rowOff>
    </xdr:from>
    <xdr:to>
      <xdr:col>19</xdr:col>
      <xdr:colOff>449580</xdr:colOff>
      <xdr:row>30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19</xdr:col>
      <xdr:colOff>251460</xdr:colOff>
      <xdr:row>29</xdr:row>
      <xdr:rowOff>99060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30480</xdr:rowOff>
    </xdr:from>
    <xdr:to>
      <xdr:col>19</xdr:col>
      <xdr:colOff>365760</xdr:colOff>
      <xdr:row>30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9"/>
  <sheetViews>
    <sheetView tabSelected="1" workbookViewId="0">
      <selection activeCell="C34" sqref="C34"/>
    </sheetView>
  </sheetViews>
  <sheetFormatPr defaultRowHeight="13.2" x14ac:dyDescent="0.25"/>
  <cols>
    <col min="1" max="16384" width="8.88671875" style="11"/>
  </cols>
  <sheetData>
    <row r="1" spans="1:1" x14ac:dyDescent="0.25">
      <c r="A1" s="11" t="s">
        <v>38</v>
      </c>
    </row>
    <row r="2" spans="1:1" x14ac:dyDescent="0.25">
      <c r="A2" s="11" t="s">
        <v>40</v>
      </c>
    </row>
    <row r="4" spans="1:1" x14ac:dyDescent="0.25">
      <c r="A4" s="11" t="s">
        <v>56</v>
      </c>
    </row>
    <row r="5" spans="1:1" x14ac:dyDescent="0.25">
      <c r="A5" s="11" t="s">
        <v>43</v>
      </c>
    </row>
    <row r="7" spans="1:1" x14ac:dyDescent="0.25">
      <c r="A7" s="11" t="s">
        <v>55</v>
      </c>
    </row>
    <row r="9" spans="1:1" x14ac:dyDescent="0.25">
      <c r="A9" s="11" t="s">
        <v>39</v>
      </c>
    </row>
  </sheetData>
  <pageMargins left="0.75" right="0.7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>
      <selection activeCell="L34" sqref="L34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DE262"/>
  <sheetViews>
    <sheetView zoomScale="60" zoomScaleNormal="60" workbookViewId="0">
      <pane xSplit="2" ySplit="5" topLeftCell="CT39" activePane="bottomRight" state="frozen"/>
      <selection activeCell="CE20" sqref="CE20"/>
      <selection pane="topRight" activeCell="CE20" sqref="CE20"/>
      <selection pane="bottomLeft" activeCell="CE20" sqref="CE20"/>
      <selection pane="bottomRight" activeCell="DD1" sqref="DD1:DE1048576"/>
    </sheetView>
  </sheetViews>
  <sheetFormatPr defaultRowHeight="13.2" x14ac:dyDescent="0.25"/>
  <cols>
    <col min="2" max="2" width="12.33203125" bestFit="1" customWidth="1"/>
    <col min="3" max="3" width="12" customWidth="1"/>
    <col min="4" max="4" width="17.21875" customWidth="1"/>
    <col min="5" max="5" width="14.77734375" customWidth="1"/>
    <col min="6" max="20" width="12" customWidth="1"/>
    <col min="21" max="21" width="11.33203125" customWidth="1"/>
    <col min="22" max="36" width="12" customWidth="1"/>
    <col min="37" max="37" width="14.44140625" customWidth="1"/>
    <col min="38" max="40" width="12" customWidth="1"/>
    <col min="41" max="43" width="13.77734375" customWidth="1"/>
    <col min="44" max="44" width="13.44140625" customWidth="1"/>
    <col min="45" max="96" width="12" customWidth="1"/>
    <col min="97" max="97" width="14.77734375" customWidth="1"/>
    <col min="98" max="98" width="12.88671875" customWidth="1"/>
    <col min="99" max="99" width="13.33203125" customWidth="1"/>
    <col min="100" max="100" width="14" customWidth="1"/>
    <col min="101" max="103" width="12" customWidth="1"/>
    <col min="104" max="106" width="13.5546875" customWidth="1"/>
    <col min="107" max="109" width="12.77734375" customWidth="1"/>
  </cols>
  <sheetData>
    <row r="1" spans="1:109" s="14" customFormat="1" x14ac:dyDescent="0.25"/>
    <row r="2" spans="1:109" s="2" customFormat="1" ht="39" customHeight="1" x14ac:dyDescent="0.25">
      <c r="B2" s="5" t="s">
        <v>29</v>
      </c>
      <c r="C2" s="7" t="s">
        <v>1</v>
      </c>
      <c r="D2" s="7" t="s">
        <v>1</v>
      </c>
      <c r="E2" s="7" t="s">
        <v>45</v>
      </c>
      <c r="F2" s="7" t="s">
        <v>0</v>
      </c>
      <c r="G2" s="7" t="s">
        <v>0</v>
      </c>
      <c r="H2" s="7" t="s">
        <v>0</v>
      </c>
      <c r="I2" s="7" t="s">
        <v>24</v>
      </c>
      <c r="J2" s="7" t="s">
        <v>24</v>
      </c>
      <c r="K2" s="7" t="s">
        <v>24</v>
      </c>
      <c r="L2" s="7" t="s">
        <v>25</v>
      </c>
      <c r="M2" s="7" t="s">
        <v>25</v>
      </c>
      <c r="N2" s="7" t="s">
        <v>25</v>
      </c>
      <c r="O2" s="7" t="s">
        <v>41</v>
      </c>
      <c r="P2" s="7" t="s">
        <v>41</v>
      </c>
      <c r="Q2" s="7" t="s">
        <v>41</v>
      </c>
      <c r="R2" s="7" t="s">
        <v>44</v>
      </c>
      <c r="S2" s="7" t="s">
        <v>26</v>
      </c>
      <c r="T2" s="7" t="s">
        <v>26</v>
      </c>
      <c r="U2" s="7" t="s">
        <v>26</v>
      </c>
      <c r="V2" s="7" t="s">
        <v>2</v>
      </c>
      <c r="W2" s="7" t="s">
        <v>2</v>
      </c>
      <c r="X2" s="7" t="s">
        <v>2</v>
      </c>
      <c r="Y2" s="7" t="s">
        <v>4</v>
      </c>
      <c r="Z2" s="7" t="s">
        <v>4</v>
      </c>
      <c r="AA2" s="7" t="s">
        <v>4</v>
      </c>
      <c r="AB2" s="7" t="s">
        <v>46</v>
      </c>
      <c r="AC2" s="7" t="s">
        <v>47</v>
      </c>
      <c r="AD2" s="7" t="s">
        <v>47</v>
      </c>
      <c r="AE2" s="7" t="s">
        <v>47</v>
      </c>
      <c r="AF2" s="7" t="s">
        <v>48</v>
      </c>
      <c r="AG2" s="7" t="s">
        <v>48</v>
      </c>
      <c r="AH2" s="7" t="s">
        <v>48</v>
      </c>
      <c r="AI2" s="7" t="s">
        <v>42</v>
      </c>
      <c r="AJ2" s="7" t="s">
        <v>42</v>
      </c>
      <c r="AK2" s="7" t="s">
        <v>42</v>
      </c>
      <c r="AL2" s="7" t="s">
        <v>11</v>
      </c>
      <c r="AM2" s="7" t="s">
        <v>11</v>
      </c>
      <c r="AN2" s="7" t="s">
        <v>11</v>
      </c>
      <c r="AO2" s="7" t="s">
        <v>12</v>
      </c>
      <c r="AP2" s="7" t="s">
        <v>12</v>
      </c>
      <c r="AQ2" s="7" t="s">
        <v>12</v>
      </c>
      <c r="AR2" s="7" t="s">
        <v>28</v>
      </c>
      <c r="AS2" s="7" t="s">
        <v>28</v>
      </c>
      <c r="AT2" s="7" t="s">
        <v>28</v>
      </c>
      <c r="AU2" s="7" t="s">
        <v>37</v>
      </c>
      <c r="AV2" s="7" t="s">
        <v>37</v>
      </c>
      <c r="AW2" s="7" t="s">
        <v>37</v>
      </c>
      <c r="AX2" s="7" t="s">
        <v>3</v>
      </c>
      <c r="AY2" s="7" t="s">
        <v>3</v>
      </c>
      <c r="AZ2" s="7" t="s">
        <v>3</v>
      </c>
      <c r="BA2" s="7" t="s">
        <v>9</v>
      </c>
      <c r="BB2" s="7" t="s">
        <v>9</v>
      </c>
      <c r="BC2" s="7" t="s">
        <v>9</v>
      </c>
      <c r="BD2" s="7" t="s">
        <v>20</v>
      </c>
      <c r="BE2" s="7" t="s">
        <v>20</v>
      </c>
      <c r="BF2" s="7" t="s">
        <v>20</v>
      </c>
      <c r="BG2" s="7" t="s">
        <v>34</v>
      </c>
      <c r="BH2" s="7" t="s">
        <v>34</v>
      </c>
      <c r="BI2" s="7" t="s">
        <v>34</v>
      </c>
      <c r="BJ2" s="7" t="s">
        <v>15</v>
      </c>
      <c r="BK2" s="7" t="s">
        <v>15</v>
      </c>
      <c r="BL2" s="7" t="s">
        <v>15</v>
      </c>
      <c r="BM2" s="7" t="s">
        <v>16</v>
      </c>
      <c r="BN2" s="7" t="s">
        <v>16</v>
      </c>
      <c r="BO2" s="7" t="s">
        <v>16</v>
      </c>
      <c r="BP2" s="7" t="s">
        <v>17</v>
      </c>
      <c r="BQ2" s="7" t="s">
        <v>17</v>
      </c>
      <c r="BR2" s="7" t="s">
        <v>17</v>
      </c>
      <c r="BS2" s="7" t="s">
        <v>6</v>
      </c>
      <c r="BT2" s="7" t="s">
        <v>6</v>
      </c>
      <c r="BU2" s="7" t="s">
        <v>6</v>
      </c>
      <c r="BV2" s="7" t="s">
        <v>19</v>
      </c>
      <c r="BW2" s="7" t="s">
        <v>19</v>
      </c>
      <c r="BX2" s="7" t="s">
        <v>19</v>
      </c>
      <c r="BY2" s="7" t="s">
        <v>35</v>
      </c>
      <c r="BZ2" s="7" t="s">
        <v>35</v>
      </c>
      <c r="CA2" s="7" t="s">
        <v>35</v>
      </c>
      <c r="CB2" s="7" t="s">
        <v>21</v>
      </c>
      <c r="CC2" s="7" t="s">
        <v>21</v>
      </c>
      <c r="CD2" s="7" t="s">
        <v>21</v>
      </c>
      <c r="CE2" s="7" t="s">
        <v>22</v>
      </c>
      <c r="CF2" s="7" t="s">
        <v>22</v>
      </c>
      <c r="CG2" s="7" t="s">
        <v>22</v>
      </c>
      <c r="CH2" s="7" t="s">
        <v>23</v>
      </c>
      <c r="CI2" s="7" t="s">
        <v>23</v>
      </c>
      <c r="CJ2" s="7" t="s">
        <v>23</v>
      </c>
      <c r="CK2" s="7" t="s">
        <v>18</v>
      </c>
      <c r="CL2" s="7" t="s">
        <v>18</v>
      </c>
      <c r="CM2" s="7" t="s">
        <v>18</v>
      </c>
      <c r="CN2" s="7" t="s">
        <v>5</v>
      </c>
      <c r="CO2" s="7" t="s">
        <v>5</v>
      </c>
      <c r="CP2" s="7" t="s">
        <v>5</v>
      </c>
      <c r="CQ2" s="7" t="s">
        <v>27</v>
      </c>
      <c r="CR2" s="7" t="s">
        <v>27</v>
      </c>
      <c r="CS2" s="7" t="s">
        <v>27</v>
      </c>
      <c r="CT2" s="7" t="s">
        <v>13</v>
      </c>
      <c r="CU2" s="7" t="s">
        <v>13</v>
      </c>
      <c r="CV2" s="7" t="s">
        <v>13</v>
      </c>
      <c r="CW2" s="7" t="s">
        <v>14</v>
      </c>
      <c r="CX2" s="7" t="s">
        <v>14</v>
      </c>
      <c r="CY2" s="7" t="s">
        <v>14</v>
      </c>
      <c r="CZ2" s="7" t="s">
        <v>36</v>
      </c>
      <c r="DA2" s="7" t="s">
        <v>36</v>
      </c>
      <c r="DB2" s="7" t="s">
        <v>36</v>
      </c>
      <c r="DC2" s="7" t="s">
        <v>57</v>
      </c>
      <c r="DD2" s="7" t="s">
        <v>57</v>
      </c>
      <c r="DE2" s="7" t="s">
        <v>57</v>
      </c>
    </row>
    <row r="3" spans="1:109" x14ac:dyDescent="0.25">
      <c r="B3" s="5" t="s">
        <v>31</v>
      </c>
      <c r="C3" s="7" t="s">
        <v>52</v>
      </c>
      <c r="D3" s="7" t="s">
        <v>52</v>
      </c>
      <c r="E3" s="7" t="s">
        <v>52</v>
      </c>
      <c r="F3" s="7" t="s">
        <v>52</v>
      </c>
      <c r="G3" s="7" t="s">
        <v>52</v>
      </c>
      <c r="H3" s="7" t="s">
        <v>52</v>
      </c>
      <c r="I3" s="7" t="s">
        <v>52</v>
      </c>
      <c r="J3" s="7" t="s">
        <v>52</v>
      </c>
      <c r="K3" s="7" t="s">
        <v>52</v>
      </c>
      <c r="L3" s="7" t="s">
        <v>52</v>
      </c>
      <c r="M3" s="7" t="s">
        <v>52</v>
      </c>
      <c r="N3" s="7" t="s">
        <v>52</v>
      </c>
      <c r="O3" s="7" t="s">
        <v>52</v>
      </c>
      <c r="P3" s="7" t="s">
        <v>52</v>
      </c>
      <c r="Q3" s="7" t="s">
        <v>52</v>
      </c>
      <c r="R3" s="7" t="s">
        <v>52</v>
      </c>
      <c r="S3" s="7" t="s">
        <v>52</v>
      </c>
      <c r="T3" s="7" t="s">
        <v>52</v>
      </c>
      <c r="U3" s="7" t="s">
        <v>52</v>
      </c>
      <c r="V3" s="7" t="s">
        <v>52</v>
      </c>
      <c r="W3" s="7" t="s">
        <v>52</v>
      </c>
      <c r="X3" s="7" t="s">
        <v>52</v>
      </c>
      <c r="Y3" s="7" t="s">
        <v>52</v>
      </c>
      <c r="Z3" s="7" t="s">
        <v>52</v>
      </c>
      <c r="AA3" s="7" t="s">
        <v>52</v>
      </c>
      <c r="AB3" s="7" t="s">
        <v>52</v>
      </c>
      <c r="AC3" s="7" t="s">
        <v>52</v>
      </c>
      <c r="AD3" s="7" t="s">
        <v>52</v>
      </c>
      <c r="AE3" s="7" t="s">
        <v>52</v>
      </c>
      <c r="AF3" s="7" t="s">
        <v>52</v>
      </c>
      <c r="AG3" s="7" t="s">
        <v>52</v>
      </c>
      <c r="AH3" s="7" t="s">
        <v>52</v>
      </c>
      <c r="AI3" s="7" t="s">
        <v>52</v>
      </c>
      <c r="AJ3" s="7" t="s">
        <v>52</v>
      </c>
      <c r="AK3" s="7" t="s">
        <v>52</v>
      </c>
      <c r="AL3" s="7" t="s">
        <v>52</v>
      </c>
      <c r="AM3" s="7" t="s">
        <v>52</v>
      </c>
      <c r="AN3" s="7" t="s">
        <v>52</v>
      </c>
      <c r="AO3" s="7" t="s">
        <v>52</v>
      </c>
      <c r="AP3" s="7" t="s">
        <v>52</v>
      </c>
      <c r="AQ3" s="7" t="s">
        <v>52</v>
      </c>
      <c r="AR3" s="7" t="s">
        <v>52</v>
      </c>
      <c r="AS3" s="7" t="s">
        <v>52</v>
      </c>
      <c r="AT3" s="7" t="s">
        <v>52</v>
      </c>
      <c r="AU3" s="7" t="s">
        <v>52</v>
      </c>
      <c r="AV3" s="7" t="s">
        <v>52</v>
      </c>
      <c r="AW3" s="7" t="s">
        <v>52</v>
      </c>
      <c r="AX3" s="7" t="s">
        <v>52</v>
      </c>
      <c r="AY3" s="7" t="s">
        <v>52</v>
      </c>
      <c r="AZ3" s="7" t="s">
        <v>52</v>
      </c>
      <c r="BA3" s="7" t="s">
        <v>52</v>
      </c>
      <c r="BB3" s="7" t="s">
        <v>52</v>
      </c>
      <c r="BC3" s="7" t="s">
        <v>52</v>
      </c>
      <c r="BD3" s="7" t="s">
        <v>52</v>
      </c>
      <c r="BE3" s="7" t="s">
        <v>52</v>
      </c>
      <c r="BF3" s="7" t="s">
        <v>52</v>
      </c>
      <c r="BG3" s="7" t="s">
        <v>52</v>
      </c>
      <c r="BH3" s="7" t="s">
        <v>52</v>
      </c>
      <c r="BI3" s="7" t="s">
        <v>52</v>
      </c>
      <c r="BJ3" s="7" t="s">
        <v>52</v>
      </c>
      <c r="BK3" s="7" t="s">
        <v>52</v>
      </c>
      <c r="BL3" s="7" t="s">
        <v>52</v>
      </c>
      <c r="BM3" s="7" t="s">
        <v>52</v>
      </c>
      <c r="BN3" s="7" t="s">
        <v>52</v>
      </c>
      <c r="BO3" s="7" t="s">
        <v>52</v>
      </c>
      <c r="BP3" s="7" t="s">
        <v>52</v>
      </c>
      <c r="BQ3" s="7" t="s">
        <v>52</v>
      </c>
      <c r="BR3" s="7" t="s">
        <v>52</v>
      </c>
      <c r="BS3" s="7" t="s">
        <v>52</v>
      </c>
      <c r="BT3" s="7" t="s">
        <v>52</v>
      </c>
      <c r="BU3" s="7" t="s">
        <v>52</v>
      </c>
      <c r="BV3" s="7" t="s">
        <v>52</v>
      </c>
      <c r="BW3" s="7" t="s">
        <v>52</v>
      </c>
      <c r="BX3" s="7" t="s">
        <v>52</v>
      </c>
      <c r="BY3" s="7" t="s">
        <v>52</v>
      </c>
      <c r="BZ3" s="7" t="s">
        <v>52</v>
      </c>
      <c r="CA3" s="7" t="s">
        <v>52</v>
      </c>
      <c r="CB3" s="7" t="s">
        <v>52</v>
      </c>
      <c r="CC3" s="7" t="s">
        <v>52</v>
      </c>
      <c r="CD3" s="7" t="s">
        <v>52</v>
      </c>
      <c r="CE3" s="7" t="s">
        <v>52</v>
      </c>
      <c r="CF3" s="7" t="s">
        <v>52</v>
      </c>
      <c r="CG3" s="7" t="s">
        <v>52</v>
      </c>
      <c r="CH3" s="7" t="s">
        <v>52</v>
      </c>
      <c r="CI3" s="7" t="s">
        <v>52</v>
      </c>
      <c r="CJ3" s="7" t="s">
        <v>52</v>
      </c>
      <c r="CK3" s="7" t="s">
        <v>52</v>
      </c>
      <c r="CL3" s="7" t="s">
        <v>52</v>
      </c>
      <c r="CM3" s="7" t="s">
        <v>52</v>
      </c>
      <c r="CN3" s="7" t="s">
        <v>52</v>
      </c>
      <c r="CO3" s="7" t="s">
        <v>52</v>
      </c>
      <c r="CP3" s="7" t="s">
        <v>52</v>
      </c>
      <c r="CQ3" s="7" t="s">
        <v>52</v>
      </c>
      <c r="CR3" s="7" t="s">
        <v>52</v>
      </c>
      <c r="CS3" s="7" t="s">
        <v>52</v>
      </c>
      <c r="CT3" s="7" t="s">
        <v>52</v>
      </c>
      <c r="CU3" s="7" t="s">
        <v>52</v>
      </c>
      <c r="CV3" s="7" t="s">
        <v>52</v>
      </c>
      <c r="CW3" s="7" t="s">
        <v>52</v>
      </c>
      <c r="CX3" s="7" t="s">
        <v>52</v>
      </c>
      <c r="CY3" s="7" t="s">
        <v>52</v>
      </c>
      <c r="CZ3" s="7" t="s">
        <v>52</v>
      </c>
      <c r="DA3" s="7" t="s">
        <v>52</v>
      </c>
      <c r="DB3" s="7" t="s">
        <v>52</v>
      </c>
      <c r="DC3" s="7" t="s">
        <v>52</v>
      </c>
      <c r="DD3" s="7" t="s">
        <v>52</v>
      </c>
      <c r="DE3" s="7" t="s">
        <v>52</v>
      </c>
    </row>
    <row r="4" spans="1:109" s="2" customFormat="1" ht="27" customHeight="1" x14ac:dyDescent="0.25">
      <c r="B4" s="5" t="s">
        <v>30</v>
      </c>
      <c r="C4" s="5" t="s">
        <v>8</v>
      </c>
      <c r="D4" s="5" t="s">
        <v>53</v>
      </c>
      <c r="E4" s="5"/>
      <c r="F4" s="5" t="s">
        <v>8</v>
      </c>
      <c r="G4" s="7" t="s">
        <v>7</v>
      </c>
      <c r="H4" s="5" t="s">
        <v>10</v>
      </c>
      <c r="I4" s="5" t="s">
        <v>8</v>
      </c>
      <c r="J4" s="5" t="s">
        <v>7</v>
      </c>
      <c r="K4" s="5" t="s">
        <v>10</v>
      </c>
      <c r="L4" s="5" t="s">
        <v>8</v>
      </c>
      <c r="M4" s="5" t="s">
        <v>7</v>
      </c>
      <c r="N4" s="5" t="s">
        <v>10</v>
      </c>
      <c r="O4" s="5" t="s">
        <v>8</v>
      </c>
      <c r="P4" s="5" t="s">
        <v>7</v>
      </c>
      <c r="Q4" s="5" t="s">
        <v>10</v>
      </c>
      <c r="R4" s="5"/>
      <c r="S4" s="5" t="s">
        <v>8</v>
      </c>
      <c r="T4" s="5" t="s">
        <v>7</v>
      </c>
      <c r="U4" s="5" t="s">
        <v>10</v>
      </c>
      <c r="V4" s="5" t="s">
        <v>8</v>
      </c>
      <c r="W4" s="5" t="s">
        <v>7</v>
      </c>
      <c r="X4" s="5" t="s">
        <v>10</v>
      </c>
      <c r="Y4" s="5" t="s">
        <v>8</v>
      </c>
      <c r="Z4" s="5" t="s">
        <v>7</v>
      </c>
      <c r="AA4" s="5" t="s">
        <v>10</v>
      </c>
      <c r="AB4" s="5" t="s">
        <v>7</v>
      </c>
      <c r="AC4" s="5"/>
      <c r="AD4" s="5" t="s">
        <v>7</v>
      </c>
      <c r="AE4" s="5" t="s">
        <v>10</v>
      </c>
      <c r="AF4" s="5"/>
      <c r="AG4" s="5" t="s">
        <v>7</v>
      </c>
      <c r="AH4" s="5" t="s">
        <v>10</v>
      </c>
      <c r="AI4" s="5" t="s">
        <v>8</v>
      </c>
      <c r="AJ4" s="5" t="s">
        <v>7</v>
      </c>
      <c r="AK4" s="5" t="s">
        <v>10</v>
      </c>
      <c r="AL4" s="5" t="s">
        <v>8</v>
      </c>
      <c r="AM4" s="5" t="s">
        <v>7</v>
      </c>
      <c r="AN4" s="5" t="s">
        <v>10</v>
      </c>
      <c r="AO4" s="5" t="s">
        <v>8</v>
      </c>
      <c r="AP4" s="5" t="s">
        <v>7</v>
      </c>
      <c r="AQ4" s="5" t="s">
        <v>10</v>
      </c>
      <c r="AR4" s="5" t="s">
        <v>8</v>
      </c>
      <c r="AS4" s="5" t="s">
        <v>7</v>
      </c>
      <c r="AT4" s="5" t="s">
        <v>10</v>
      </c>
      <c r="AU4" s="5" t="s">
        <v>8</v>
      </c>
      <c r="AV4" s="5" t="s">
        <v>7</v>
      </c>
      <c r="AW4" s="5" t="s">
        <v>10</v>
      </c>
      <c r="AX4" s="5" t="s">
        <v>8</v>
      </c>
      <c r="AY4" s="5" t="s">
        <v>7</v>
      </c>
      <c r="AZ4" s="5" t="s">
        <v>10</v>
      </c>
      <c r="BA4" s="5" t="s">
        <v>8</v>
      </c>
      <c r="BB4" s="5" t="s">
        <v>7</v>
      </c>
      <c r="BC4" s="5" t="s">
        <v>10</v>
      </c>
      <c r="BD4" s="5" t="s">
        <v>8</v>
      </c>
      <c r="BE4" s="5" t="s">
        <v>7</v>
      </c>
      <c r="BF4" s="5" t="s">
        <v>10</v>
      </c>
      <c r="BG4" s="5" t="s">
        <v>8</v>
      </c>
      <c r="BH4" s="5" t="s">
        <v>7</v>
      </c>
      <c r="BI4" s="5" t="s">
        <v>10</v>
      </c>
      <c r="BJ4" s="5" t="s">
        <v>8</v>
      </c>
      <c r="BK4" s="5" t="s">
        <v>7</v>
      </c>
      <c r="BL4" s="5" t="s">
        <v>10</v>
      </c>
      <c r="BM4" s="5" t="s">
        <v>8</v>
      </c>
      <c r="BN4" s="5" t="s">
        <v>7</v>
      </c>
      <c r="BO4" s="5" t="s">
        <v>10</v>
      </c>
      <c r="BP4" s="5" t="s">
        <v>8</v>
      </c>
      <c r="BQ4" s="5" t="s">
        <v>7</v>
      </c>
      <c r="BR4" s="5" t="s">
        <v>10</v>
      </c>
      <c r="BS4" s="5" t="s">
        <v>8</v>
      </c>
      <c r="BT4" s="5" t="s">
        <v>7</v>
      </c>
      <c r="BU4" s="5" t="s">
        <v>10</v>
      </c>
      <c r="BV4" s="5" t="s">
        <v>8</v>
      </c>
      <c r="BW4" s="5" t="s">
        <v>7</v>
      </c>
      <c r="BX4" s="5" t="s">
        <v>10</v>
      </c>
      <c r="BY4" s="5" t="s">
        <v>8</v>
      </c>
      <c r="BZ4" s="5" t="s">
        <v>7</v>
      </c>
      <c r="CA4" s="5" t="s">
        <v>10</v>
      </c>
      <c r="CB4" s="5" t="s">
        <v>8</v>
      </c>
      <c r="CC4" s="5" t="s">
        <v>7</v>
      </c>
      <c r="CD4" s="5" t="s">
        <v>10</v>
      </c>
      <c r="CE4" s="5" t="s">
        <v>8</v>
      </c>
      <c r="CF4" s="5" t="s">
        <v>7</v>
      </c>
      <c r="CG4" s="5" t="s">
        <v>10</v>
      </c>
      <c r="CH4" s="5" t="s">
        <v>8</v>
      </c>
      <c r="CI4" s="5" t="s">
        <v>7</v>
      </c>
      <c r="CJ4" s="5" t="s">
        <v>10</v>
      </c>
      <c r="CK4" s="5" t="s">
        <v>8</v>
      </c>
      <c r="CL4" s="5" t="s">
        <v>7</v>
      </c>
      <c r="CM4" s="5" t="s">
        <v>10</v>
      </c>
      <c r="CN4" s="5" t="s">
        <v>8</v>
      </c>
      <c r="CO4" s="5" t="s">
        <v>7</v>
      </c>
      <c r="CP4" s="5" t="s">
        <v>10</v>
      </c>
      <c r="CQ4" s="5" t="s">
        <v>8</v>
      </c>
      <c r="CR4" s="5" t="s">
        <v>7</v>
      </c>
      <c r="CS4" s="5" t="s">
        <v>10</v>
      </c>
      <c r="CT4" s="5" t="s">
        <v>8</v>
      </c>
      <c r="CU4" s="5" t="s">
        <v>7</v>
      </c>
      <c r="CV4" s="5" t="s">
        <v>10</v>
      </c>
      <c r="CW4" s="5" t="s">
        <v>8</v>
      </c>
      <c r="CX4" s="5" t="s">
        <v>7</v>
      </c>
      <c r="CY4" s="5" t="s">
        <v>10</v>
      </c>
      <c r="CZ4" s="5" t="s">
        <v>8</v>
      </c>
      <c r="DA4" s="5" t="s">
        <v>7</v>
      </c>
      <c r="DB4" s="5" t="s">
        <v>10</v>
      </c>
      <c r="DC4" s="5" t="s">
        <v>8</v>
      </c>
      <c r="DD4" s="5" t="s">
        <v>7</v>
      </c>
      <c r="DE4" s="5" t="s">
        <v>58</v>
      </c>
    </row>
    <row r="5" spans="1:109" s="9" customFormat="1" x14ac:dyDescent="0.25">
      <c r="A5" s="4" t="s">
        <v>33</v>
      </c>
      <c r="B5" s="4" t="s">
        <v>32</v>
      </c>
      <c r="C5" s="6" t="s">
        <v>50</v>
      </c>
      <c r="D5" s="6" t="s">
        <v>50</v>
      </c>
      <c r="E5" s="6" t="s">
        <v>50</v>
      </c>
      <c r="F5" s="6" t="s">
        <v>50</v>
      </c>
      <c r="G5" s="6" t="s">
        <v>50</v>
      </c>
      <c r="H5" s="6" t="s">
        <v>50</v>
      </c>
      <c r="I5" s="6" t="s">
        <v>50</v>
      </c>
      <c r="J5" s="6" t="s">
        <v>50</v>
      </c>
      <c r="K5" s="6" t="s">
        <v>50</v>
      </c>
      <c r="L5" s="6" t="s">
        <v>50</v>
      </c>
      <c r="M5" s="6" t="s">
        <v>50</v>
      </c>
      <c r="N5" s="6" t="s">
        <v>50</v>
      </c>
      <c r="O5" s="6" t="s">
        <v>50</v>
      </c>
      <c r="P5" s="6" t="s">
        <v>50</v>
      </c>
      <c r="Q5" s="6" t="s">
        <v>50</v>
      </c>
      <c r="R5" s="6" t="s">
        <v>50</v>
      </c>
      <c r="S5" s="6" t="s">
        <v>50</v>
      </c>
      <c r="T5" s="6" t="s">
        <v>50</v>
      </c>
      <c r="U5" s="6" t="s">
        <v>50</v>
      </c>
      <c r="V5" s="6" t="s">
        <v>50</v>
      </c>
      <c r="W5" s="6" t="s">
        <v>50</v>
      </c>
      <c r="X5" s="6" t="s">
        <v>50</v>
      </c>
      <c r="Y5" s="6" t="s">
        <v>50</v>
      </c>
      <c r="Z5" s="6" t="s">
        <v>50</v>
      </c>
      <c r="AA5" s="6" t="s">
        <v>50</v>
      </c>
      <c r="AB5" s="6" t="s">
        <v>50</v>
      </c>
      <c r="AC5" s="6" t="s">
        <v>50</v>
      </c>
      <c r="AD5" s="6" t="s">
        <v>50</v>
      </c>
      <c r="AE5" s="6" t="s">
        <v>50</v>
      </c>
      <c r="AF5" s="6" t="s">
        <v>50</v>
      </c>
      <c r="AG5" s="6" t="s">
        <v>50</v>
      </c>
      <c r="AH5" s="6" t="s">
        <v>50</v>
      </c>
      <c r="AI5" s="6" t="s">
        <v>50</v>
      </c>
      <c r="AJ5" s="6" t="s">
        <v>50</v>
      </c>
      <c r="AK5" s="6" t="s">
        <v>50</v>
      </c>
      <c r="AL5" s="6" t="s">
        <v>50</v>
      </c>
      <c r="AM5" s="6" t="s">
        <v>50</v>
      </c>
      <c r="AN5" s="6" t="s">
        <v>50</v>
      </c>
      <c r="AO5" s="6" t="s">
        <v>50</v>
      </c>
      <c r="AP5" s="6" t="s">
        <v>50</v>
      </c>
      <c r="AQ5" s="6" t="s">
        <v>50</v>
      </c>
      <c r="AR5" s="6" t="s">
        <v>50</v>
      </c>
      <c r="AS5" s="6" t="s">
        <v>50</v>
      </c>
      <c r="AT5" s="6" t="s">
        <v>50</v>
      </c>
      <c r="AU5" s="6" t="s">
        <v>50</v>
      </c>
      <c r="AV5" s="6" t="s">
        <v>50</v>
      </c>
      <c r="AW5" s="6" t="s">
        <v>50</v>
      </c>
      <c r="AX5" s="6" t="s">
        <v>50</v>
      </c>
      <c r="AY5" s="6" t="s">
        <v>50</v>
      </c>
      <c r="AZ5" s="6" t="s">
        <v>50</v>
      </c>
      <c r="BA5" s="6" t="s">
        <v>50</v>
      </c>
      <c r="BB5" s="6" t="s">
        <v>50</v>
      </c>
      <c r="BC5" s="6" t="s">
        <v>50</v>
      </c>
      <c r="BD5" s="6" t="s">
        <v>50</v>
      </c>
      <c r="BE5" s="6" t="s">
        <v>50</v>
      </c>
      <c r="BF5" s="6" t="s">
        <v>50</v>
      </c>
      <c r="BG5" s="6" t="s">
        <v>50</v>
      </c>
      <c r="BH5" s="6" t="s">
        <v>50</v>
      </c>
      <c r="BI5" s="6" t="s">
        <v>50</v>
      </c>
      <c r="BJ5" s="6" t="s">
        <v>50</v>
      </c>
      <c r="BK5" s="6" t="s">
        <v>50</v>
      </c>
      <c r="BL5" s="6" t="s">
        <v>50</v>
      </c>
      <c r="BM5" s="6" t="s">
        <v>50</v>
      </c>
      <c r="BN5" s="6" t="s">
        <v>50</v>
      </c>
      <c r="BO5" s="6" t="s">
        <v>50</v>
      </c>
      <c r="BP5" s="6" t="s">
        <v>50</v>
      </c>
      <c r="BQ5" s="6" t="s">
        <v>50</v>
      </c>
      <c r="BR5" s="6" t="s">
        <v>50</v>
      </c>
      <c r="BS5" s="6" t="s">
        <v>50</v>
      </c>
      <c r="BT5" s="6" t="s">
        <v>50</v>
      </c>
      <c r="BU5" s="6" t="s">
        <v>50</v>
      </c>
      <c r="BV5" s="6" t="s">
        <v>50</v>
      </c>
      <c r="BW5" s="6" t="s">
        <v>50</v>
      </c>
      <c r="BX5" s="6" t="s">
        <v>50</v>
      </c>
      <c r="BY5" s="6" t="s">
        <v>50</v>
      </c>
      <c r="BZ5" s="6" t="s">
        <v>50</v>
      </c>
      <c r="CA5" s="6" t="s">
        <v>50</v>
      </c>
      <c r="CB5" s="6" t="s">
        <v>50</v>
      </c>
      <c r="CC5" s="6" t="s">
        <v>50</v>
      </c>
      <c r="CD5" s="6" t="s">
        <v>50</v>
      </c>
      <c r="CE5" s="6" t="s">
        <v>50</v>
      </c>
      <c r="CF5" s="6" t="s">
        <v>50</v>
      </c>
      <c r="CG5" s="6" t="s">
        <v>50</v>
      </c>
      <c r="CH5" s="6" t="s">
        <v>50</v>
      </c>
      <c r="CI5" s="6" t="s">
        <v>50</v>
      </c>
      <c r="CJ5" s="6" t="s">
        <v>50</v>
      </c>
      <c r="CK5" s="6" t="s">
        <v>50</v>
      </c>
      <c r="CL5" s="6" t="s">
        <v>50</v>
      </c>
      <c r="CM5" s="6" t="s">
        <v>50</v>
      </c>
      <c r="CN5" s="6" t="s">
        <v>50</v>
      </c>
      <c r="CO5" s="6" t="s">
        <v>50</v>
      </c>
      <c r="CP5" s="6" t="s">
        <v>50</v>
      </c>
      <c r="CQ5" s="6" t="s">
        <v>50</v>
      </c>
      <c r="CR5" s="6" t="s">
        <v>50</v>
      </c>
      <c r="CS5" s="6" t="s">
        <v>50</v>
      </c>
      <c r="CT5" s="6" t="s">
        <v>50</v>
      </c>
      <c r="CU5" s="6" t="s">
        <v>50</v>
      </c>
      <c r="CV5" s="6" t="s">
        <v>50</v>
      </c>
      <c r="CW5" s="6" t="s">
        <v>50</v>
      </c>
      <c r="CX5" s="6" t="s">
        <v>50</v>
      </c>
      <c r="CY5" s="6" t="s">
        <v>50</v>
      </c>
      <c r="CZ5" s="6" t="s">
        <v>50</v>
      </c>
      <c r="DA5" s="6" t="s">
        <v>50</v>
      </c>
      <c r="DB5" s="6" t="s">
        <v>50</v>
      </c>
      <c r="DC5" s="6" t="s">
        <v>50</v>
      </c>
      <c r="DD5" s="6" t="s">
        <v>50</v>
      </c>
      <c r="DE5" s="6" t="s">
        <v>50</v>
      </c>
    </row>
    <row r="6" spans="1:109" s="2" customFormat="1" ht="54.6" hidden="1" customHeight="1" x14ac:dyDescent="0.25">
      <c r="A6" s="4" t="s">
        <v>33</v>
      </c>
      <c r="B6" s="5" t="s">
        <v>29</v>
      </c>
      <c r="C6" s="7" t="str">
        <f>CONCATENATE(C2,", ",C4,", ","in ",C5)</f>
        <v>UK, Imports, in pound/ton</v>
      </c>
      <c r="D6" s="7" t="str">
        <f>CONCATENATE(D2,", ",D4,", ","in ",D5)</f>
        <v>UK, Foreign and Colonial Exports, in pound/ton</v>
      </c>
      <c r="E6" s="7" t="str">
        <f t="shared" ref="E6:BP6" si="0">CONCATENATE(E2,", ",E4,", ","in ",E5)</f>
        <v>Odessa, , in pound/ton</v>
      </c>
      <c r="F6" s="7" t="str">
        <f t="shared" si="0"/>
        <v>Baghdad, Imports, in pound/ton</v>
      </c>
      <c r="G6" s="7" t="str">
        <f t="shared" si="0"/>
        <v>Baghdad, Exports, in pound/ton</v>
      </c>
      <c r="H6" s="7" t="str">
        <f t="shared" si="0"/>
        <v>Baghdad, Bazaar (Local), in pound/ton</v>
      </c>
      <c r="I6" s="7" t="str">
        <f t="shared" si="0"/>
        <v>Basrah, Imports, in pound/ton</v>
      </c>
      <c r="J6" s="7" t="str">
        <f t="shared" si="0"/>
        <v>Basrah, Exports, in pound/ton</v>
      </c>
      <c r="K6" s="7" t="str">
        <f t="shared" si="0"/>
        <v>Basrah, Bazaar (Local), in pound/ton</v>
      </c>
      <c r="L6" s="7" t="str">
        <f t="shared" si="0"/>
        <v>Mosul, Imports, in pound/ton</v>
      </c>
      <c r="M6" s="7" t="str">
        <f t="shared" si="0"/>
        <v>Mosul, Exports, in pound/ton</v>
      </c>
      <c r="N6" s="7" t="str">
        <f t="shared" si="0"/>
        <v>Mosul, Bazaar (Local), in pound/ton</v>
      </c>
      <c r="O6" s="7" t="str">
        <f t="shared" si="0"/>
        <v>Egypt, Imports, in pound/ton</v>
      </c>
      <c r="P6" s="7" t="str">
        <f t="shared" si="0"/>
        <v>Egypt, Exports, in pound/ton</v>
      </c>
      <c r="Q6" s="7" t="str">
        <f t="shared" si="0"/>
        <v>Egypt, Bazaar (Local), in pound/ton</v>
      </c>
      <c r="R6" s="7" t="str">
        <f t="shared" si="0"/>
        <v>Aleppo, , in pound/ton</v>
      </c>
      <c r="S6" s="7" t="str">
        <f t="shared" si="0"/>
        <v>Palestine, Imports, in pound/ton</v>
      </c>
      <c r="T6" s="7" t="str">
        <f t="shared" si="0"/>
        <v>Palestine, Exports, in pound/ton</v>
      </c>
      <c r="U6" s="7" t="str">
        <f t="shared" si="0"/>
        <v>Palestine, Bazaar (Local), in pound/ton</v>
      </c>
      <c r="V6" s="7" t="str">
        <f t="shared" si="0"/>
        <v>Damascus, Imports, in pound/ton</v>
      </c>
      <c r="W6" s="7" t="str">
        <f t="shared" si="0"/>
        <v>Damascus, Exports, in pound/ton</v>
      </c>
      <c r="X6" s="7" t="str">
        <f t="shared" si="0"/>
        <v>Damascus, Bazaar (Local), in pound/ton</v>
      </c>
      <c r="Y6" s="7" t="str">
        <f t="shared" si="0"/>
        <v>Beirut, Imports, in pound/ton</v>
      </c>
      <c r="Z6" s="7" t="str">
        <f t="shared" si="0"/>
        <v>Beirut, Exports, in pound/ton</v>
      </c>
      <c r="AA6" s="7" t="str">
        <f t="shared" si="0"/>
        <v>Beirut, Bazaar (Local), in pound/ton</v>
      </c>
      <c r="AB6" s="7" t="str">
        <f t="shared" si="0"/>
        <v>Alexandria, Exports, in pound/ton</v>
      </c>
      <c r="AC6" s="7" t="str">
        <f t="shared" si="0"/>
        <v>Istanbul (Rumeli), , in pound/ton</v>
      </c>
      <c r="AD6" s="7" t="str">
        <f t="shared" si="0"/>
        <v>Istanbul (Rumeli), Exports, in pound/ton</v>
      </c>
      <c r="AE6" s="7" t="str">
        <f t="shared" si="0"/>
        <v>Istanbul (Rumeli), Bazaar (Local), in pound/ton</v>
      </c>
      <c r="AF6" s="7" t="str">
        <f t="shared" si="0"/>
        <v>Istanbul (Anatolia), , in pound/ton</v>
      </c>
      <c r="AG6" s="7" t="str">
        <f t="shared" si="0"/>
        <v>Istanbul (Anatolia), Exports, in pound/ton</v>
      </c>
      <c r="AH6" s="7" t="str">
        <f t="shared" si="0"/>
        <v>Istanbul (Anatolia), Bazaar (Local), in pound/ton</v>
      </c>
      <c r="AI6" s="7" t="str">
        <f t="shared" si="0"/>
        <v>Istanbul (Nallrihan), Imports, in pound/ton</v>
      </c>
      <c r="AJ6" s="7" t="str">
        <f t="shared" si="0"/>
        <v>Istanbul (Nallrihan), Exports, in pound/ton</v>
      </c>
      <c r="AK6" s="7" t="str">
        <f t="shared" si="0"/>
        <v>Istanbul (Nallrihan), Bazaar (Local), in pound/ton</v>
      </c>
      <c r="AL6" s="7" t="str">
        <f t="shared" si="0"/>
        <v>Turkey, Imports, in pound/ton</v>
      </c>
      <c r="AM6" s="7" t="str">
        <f t="shared" si="0"/>
        <v>Turkey, Exports, in pound/ton</v>
      </c>
      <c r="AN6" s="7" t="str">
        <f t="shared" si="0"/>
        <v>Turkey, Bazaar (Local), in pound/ton</v>
      </c>
      <c r="AO6" s="7" t="str">
        <f t="shared" si="0"/>
        <v>Constantinople, Imports, in pound/ton</v>
      </c>
      <c r="AP6" s="7" t="str">
        <f t="shared" si="0"/>
        <v>Constantinople, Exports, in pound/ton</v>
      </c>
      <c r="AQ6" s="7" t="str">
        <f t="shared" si="0"/>
        <v>Constantinople, Bazaar (Local), in pound/ton</v>
      </c>
      <c r="AR6" s="7" t="str">
        <f t="shared" si="0"/>
        <v>Trebizond (Anatolia), Imports, in pound/ton</v>
      </c>
      <c r="AS6" s="7" t="str">
        <f t="shared" si="0"/>
        <v>Trebizond (Anatolia), Exports, in pound/ton</v>
      </c>
      <c r="AT6" s="7" t="str">
        <f t="shared" si="0"/>
        <v>Trebizond (Anatolia), Bazaar (Local), in pound/ton</v>
      </c>
      <c r="AU6" s="7" t="str">
        <f t="shared" si="0"/>
        <v>Trebizond (Persia), Imports, in pound/ton</v>
      </c>
      <c r="AV6" s="7" t="str">
        <f t="shared" si="0"/>
        <v>Trebizond (Persia), Exports, in pound/ton</v>
      </c>
      <c r="AW6" s="7" t="str">
        <f t="shared" si="0"/>
        <v>Trebizond (Persia), Bazaar (Local), in pound/ton</v>
      </c>
      <c r="AX6" s="7" t="str">
        <f t="shared" si="0"/>
        <v>Izmir, Imports, in pound/ton</v>
      </c>
      <c r="AY6" s="7" t="str">
        <f t="shared" si="0"/>
        <v>Izmir, Exports, in pound/ton</v>
      </c>
      <c r="AZ6" s="7" t="str">
        <f t="shared" si="0"/>
        <v>Izmir, Bazaar (Local), in pound/ton</v>
      </c>
      <c r="BA6" s="7" t="str">
        <f t="shared" si="0"/>
        <v>Alexandretta, Imports, in pound/ton</v>
      </c>
      <c r="BB6" s="7" t="str">
        <f t="shared" si="0"/>
        <v>Alexandretta, Exports, in pound/ton</v>
      </c>
      <c r="BC6" s="7" t="str">
        <f t="shared" si="0"/>
        <v>Alexandretta, Bazaar (Local), in pound/ton</v>
      </c>
      <c r="BD6" s="7" t="str">
        <f t="shared" si="0"/>
        <v>Ispahan, Imports, in pound/ton</v>
      </c>
      <c r="BE6" s="7" t="str">
        <f t="shared" si="0"/>
        <v>Ispahan, Exports, in pound/ton</v>
      </c>
      <c r="BF6" s="7" t="str">
        <f t="shared" si="0"/>
        <v>Ispahan, Bazaar (Local), in pound/ton</v>
      </c>
      <c r="BG6" s="7" t="str">
        <f t="shared" si="0"/>
        <v>Yezd, Imports, in pound/ton</v>
      </c>
      <c r="BH6" s="7" t="str">
        <f t="shared" si="0"/>
        <v>Yezd, Exports, in pound/ton</v>
      </c>
      <c r="BI6" s="7" t="str">
        <f t="shared" si="0"/>
        <v>Yezd, Bazaar (Local), in pound/ton</v>
      </c>
      <c r="BJ6" s="7" t="str">
        <f t="shared" si="0"/>
        <v>Khorasan, Imports, in pound/ton</v>
      </c>
      <c r="BK6" s="7" t="str">
        <f t="shared" si="0"/>
        <v>Khorasan, Exports, in pound/ton</v>
      </c>
      <c r="BL6" s="7" t="str">
        <f t="shared" si="0"/>
        <v>Khorasan, Bazaar (Local), in pound/ton</v>
      </c>
      <c r="BM6" s="7" t="str">
        <f t="shared" si="0"/>
        <v>Kermanshah, Imports, in pound/ton</v>
      </c>
      <c r="BN6" s="7" t="str">
        <f t="shared" si="0"/>
        <v>Kermanshah, Exports, in pound/ton</v>
      </c>
      <c r="BO6" s="7" t="str">
        <f t="shared" si="0"/>
        <v>Kermanshah, Bazaar (Local), in pound/ton</v>
      </c>
      <c r="BP6" s="7" t="str">
        <f t="shared" si="0"/>
        <v>Kerman, Imports, in pound/ton</v>
      </c>
      <c r="BQ6" s="7" t="str">
        <f t="shared" ref="BQ6:DE6" si="1">CONCATENATE(BQ2,", ",BQ4,", ","in ",BQ5)</f>
        <v>Kerman, Exports, in pound/ton</v>
      </c>
      <c r="BR6" s="7" t="str">
        <f t="shared" si="1"/>
        <v>Kerman, Bazaar (Local), in pound/ton</v>
      </c>
      <c r="BS6" s="7" t="str">
        <f t="shared" si="1"/>
        <v>Bam, Imports, in pound/ton</v>
      </c>
      <c r="BT6" s="7" t="str">
        <f t="shared" si="1"/>
        <v>Bam, Exports, in pound/ton</v>
      </c>
      <c r="BU6" s="7" t="str">
        <f t="shared" si="1"/>
        <v>Bam, Bazaar (Local), in pound/ton</v>
      </c>
      <c r="BV6" s="7" t="str">
        <f t="shared" si="1"/>
        <v>Resht, Imports, in pound/ton</v>
      </c>
      <c r="BW6" s="7" t="str">
        <f t="shared" si="1"/>
        <v>Resht, Exports, in pound/ton</v>
      </c>
      <c r="BX6" s="7" t="str">
        <f t="shared" si="1"/>
        <v>Resht, Bazaar (Local), in pound/ton</v>
      </c>
      <c r="BY6" s="7" t="str">
        <f t="shared" si="1"/>
        <v>Mazandaran, Imports, in pound/ton</v>
      </c>
      <c r="BZ6" s="7" t="str">
        <f t="shared" si="1"/>
        <v>Mazandaran, Exports, in pound/ton</v>
      </c>
      <c r="CA6" s="7" t="str">
        <f t="shared" si="1"/>
        <v>Mazandaran, Bazaar (Local), in pound/ton</v>
      </c>
      <c r="CB6" s="7" t="str">
        <f t="shared" si="1"/>
        <v>Ghilan &amp; Tunekabun, Imports, in pound/ton</v>
      </c>
      <c r="CC6" s="7" t="str">
        <f t="shared" si="1"/>
        <v>Ghilan &amp; Tunekabun, Exports, in pound/ton</v>
      </c>
      <c r="CD6" s="7" t="str">
        <f t="shared" si="1"/>
        <v>Ghilan &amp; Tunekabun, Bazaar (Local), in pound/ton</v>
      </c>
      <c r="CE6" s="7" t="str">
        <f t="shared" si="1"/>
        <v>Bender Gez &amp; Astarabad, Imports, in pound/ton</v>
      </c>
      <c r="CF6" s="7" t="str">
        <f t="shared" si="1"/>
        <v>Bender Gez &amp; Astarabad, Exports, in pound/ton</v>
      </c>
      <c r="CG6" s="7" t="str">
        <f t="shared" si="1"/>
        <v>Bender Gez &amp; Astarabad, Bazaar (Local), in pound/ton</v>
      </c>
      <c r="CH6" s="7" t="str">
        <f t="shared" si="1"/>
        <v>Astara, Imports, in pound/ton</v>
      </c>
      <c r="CI6" s="7" t="str">
        <f t="shared" si="1"/>
        <v>Astara, Exports, in pound/ton</v>
      </c>
      <c r="CJ6" s="7" t="str">
        <f t="shared" si="1"/>
        <v>Astara, Bazaar (Local), in pound/ton</v>
      </c>
      <c r="CK6" s="7" t="str">
        <f t="shared" si="1"/>
        <v>Sultanabad, Imports, in pound/ton</v>
      </c>
      <c r="CL6" s="7" t="str">
        <f t="shared" si="1"/>
        <v>Sultanabad, Exports, in pound/ton</v>
      </c>
      <c r="CM6" s="7" t="str">
        <f t="shared" si="1"/>
        <v>Sultanabad, Bazaar (Local), in pound/ton</v>
      </c>
      <c r="CN6" s="7" t="str">
        <f t="shared" si="1"/>
        <v>Bahrain, Imports, in pound/ton</v>
      </c>
      <c r="CO6" s="7" t="str">
        <f t="shared" si="1"/>
        <v>Bahrain, Exports, in pound/ton</v>
      </c>
      <c r="CP6" s="7" t="str">
        <f t="shared" si="1"/>
        <v>Bahrain, Bazaar (Local), in pound/ton</v>
      </c>
      <c r="CQ6" s="7" t="str">
        <f t="shared" si="1"/>
        <v>Muscat, Imports, in pound/ton</v>
      </c>
      <c r="CR6" s="7" t="str">
        <f t="shared" si="1"/>
        <v>Muscat, Exports, in pound/ton</v>
      </c>
      <c r="CS6" s="7" t="str">
        <f t="shared" si="1"/>
        <v>Muscat, Bazaar (Local), in pound/ton</v>
      </c>
      <c r="CT6" s="7" t="str">
        <f t="shared" si="1"/>
        <v>Mohammerah, Imports, in pound/ton</v>
      </c>
      <c r="CU6" s="7" t="str">
        <f t="shared" si="1"/>
        <v>Mohammerah, Exports, in pound/ton</v>
      </c>
      <c r="CV6" s="7" t="str">
        <f t="shared" si="1"/>
        <v>Mohammerah, Bazaar (Local), in pound/ton</v>
      </c>
      <c r="CW6" s="7" t="str">
        <f t="shared" si="1"/>
        <v>Lingah, Imports, in pound/ton</v>
      </c>
      <c r="CX6" s="7" t="str">
        <f t="shared" si="1"/>
        <v>Lingah, Exports, in pound/ton</v>
      </c>
      <c r="CY6" s="7" t="str">
        <f t="shared" si="1"/>
        <v>Lingah, Bazaar (Local), in pound/ton</v>
      </c>
      <c r="CZ6" s="7" t="str">
        <f t="shared" si="1"/>
        <v>Shiraz, Imports, in pound/ton</v>
      </c>
      <c r="DA6" s="7" t="str">
        <f t="shared" si="1"/>
        <v>Shiraz, Exports, in pound/ton</v>
      </c>
      <c r="DB6" s="7" t="str">
        <f t="shared" si="1"/>
        <v>Shiraz, Bazaar (Local), in pound/ton</v>
      </c>
      <c r="DC6" s="7" t="str">
        <f t="shared" si="1"/>
        <v>India, Imports, in pound/ton</v>
      </c>
      <c r="DD6" s="7" t="str">
        <f t="shared" si="1"/>
        <v>India, Exports, in pound/ton</v>
      </c>
      <c r="DE6" s="7" t="str">
        <f t="shared" si="1"/>
        <v>India, Wholesale, in pound/ton</v>
      </c>
    </row>
    <row r="7" spans="1:109" x14ac:dyDescent="0.25">
      <c r="A7" s="8">
        <v>1840</v>
      </c>
      <c r="C7" s="17"/>
      <c r="D7" s="1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</row>
    <row r="8" spans="1:109" x14ac:dyDescent="0.25">
      <c r="A8" s="8">
        <f t="shared" ref="A8:A39" si="2">A7+1</f>
        <v>1841</v>
      </c>
      <c r="C8" s="17"/>
      <c r="D8" s="1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</row>
    <row r="9" spans="1:109" x14ac:dyDescent="0.25">
      <c r="A9" s="8">
        <f t="shared" si="2"/>
        <v>1842</v>
      </c>
      <c r="C9" s="17"/>
      <c r="D9" s="1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</row>
    <row r="10" spans="1:109" x14ac:dyDescent="0.25">
      <c r="A10" s="8">
        <f t="shared" si="2"/>
        <v>1843</v>
      </c>
      <c r="C10" s="17"/>
      <c r="D10" s="17"/>
      <c r="E10" s="1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DD10" s="1">
        <v>3.7608616799828365</v>
      </c>
    </row>
    <row r="11" spans="1:109" x14ac:dyDescent="0.25">
      <c r="A11" s="8">
        <f t="shared" si="2"/>
        <v>1844</v>
      </c>
      <c r="C11" s="17"/>
      <c r="D11" s="17"/>
      <c r="E11" s="1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DD11" s="1">
        <v>3.7015410456678532</v>
      </c>
    </row>
    <row r="12" spans="1:109" x14ac:dyDescent="0.25">
      <c r="A12" s="8">
        <f t="shared" si="2"/>
        <v>1845</v>
      </c>
      <c r="C12" s="17"/>
      <c r="D12" s="17"/>
      <c r="E12" s="1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7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DD12" s="1">
        <v>4.2181898789867027</v>
      </c>
    </row>
    <row r="13" spans="1:109" x14ac:dyDescent="0.25">
      <c r="A13" s="8">
        <f t="shared" si="2"/>
        <v>1846</v>
      </c>
      <c r="C13" s="17"/>
      <c r="D13" s="17"/>
      <c r="E13" s="1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DD13" s="1">
        <v>4.7159384471137127</v>
      </c>
    </row>
    <row r="14" spans="1:109" x14ac:dyDescent="0.25">
      <c r="A14" s="8">
        <f t="shared" si="2"/>
        <v>1847</v>
      </c>
      <c r="C14" s="17"/>
      <c r="D14" s="17"/>
      <c r="E14" s="17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7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DD14" s="1">
        <v>4.1301965651342654</v>
      </c>
    </row>
    <row r="15" spans="1:109" x14ac:dyDescent="0.25">
      <c r="A15" s="8">
        <f t="shared" si="2"/>
        <v>1848</v>
      </c>
      <c r="C15" s="17"/>
      <c r="D15" s="17"/>
      <c r="E15" s="1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7"/>
      <c r="S15" s="1"/>
      <c r="T15" s="1"/>
      <c r="U15" s="1"/>
      <c r="V15" s="1"/>
      <c r="W15" s="1"/>
      <c r="X15" s="1"/>
      <c r="Y15" s="1"/>
      <c r="Z15" s="1"/>
      <c r="AA15" s="1"/>
      <c r="AB15" s="17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DD15" s="1">
        <v>3.0483279199617619</v>
      </c>
    </row>
    <row r="16" spans="1:109" x14ac:dyDescent="0.25">
      <c r="A16" s="8">
        <f t="shared" si="2"/>
        <v>1849</v>
      </c>
      <c r="C16" s="17"/>
      <c r="D16" s="17"/>
      <c r="E16" s="1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7"/>
      <c r="S16" s="1"/>
      <c r="T16" s="1"/>
      <c r="U16" s="1"/>
      <c r="V16" s="17"/>
      <c r="W16" s="1"/>
      <c r="X16" s="1"/>
      <c r="Y16" s="1"/>
      <c r="Z16" s="1"/>
      <c r="AA16" s="1"/>
      <c r="AB16" s="17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DD16" s="1">
        <v>3.0611360204658022</v>
      </c>
    </row>
    <row r="17" spans="1:108" x14ac:dyDescent="0.25">
      <c r="A17" s="8">
        <f t="shared" si="2"/>
        <v>1850</v>
      </c>
      <c r="C17" s="17"/>
      <c r="D17" s="17"/>
      <c r="E17" s="1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7"/>
      <c r="S17" s="1"/>
      <c r="T17" s="1"/>
      <c r="U17" s="1"/>
      <c r="V17" s="17"/>
      <c r="W17" s="1"/>
      <c r="X17" s="1"/>
      <c r="Y17" s="1"/>
      <c r="Z17" s="1"/>
      <c r="AA17" s="1"/>
      <c r="AB17" s="17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DD17" s="1">
        <v>3.0371832091335698</v>
      </c>
    </row>
    <row r="18" spans="1:108" x14ac:dyDescent="0.25">
      <c r="A18" s="8">
        <f t="shared" si="2"/>
        <v>1851</v>
      </c>
      <c r="C18" s="17"/>
      <c r="D18" s="17"/>
      <c r="E18" s="17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7"/>
      <c r="S18" s="1"/>
      <c r="T18" s="1"/>
      <c r="U18" s="1"/>
      <c r="V18" s="17"/>
      <c r="W18" s="1"/>
      <c r="X18" s="1"/>
      <c r="Y18" s="1"/>
      <c r="Z18" s="1"/>
      <c r="AA18" s="1"/>
      <c r="AB18" s="17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DD18" s="1">
        <v>3.6730970822108273</v>
      </c>
    </row>
    <row r="19" spans="1:108" x14ac:dyDescent="0.25">
      <c r="A19" s="8">
        <f t="shared" si="2"/>
        <v>1852</v>
      </c>
      <c r="C19" s="17"/>
      <c r="D19" s="17"/>
      <c r="E19" s="1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7"/>
      <c r="S19" s="1"/>
      <c r="T19" s="1"/>
      <c r="U19" s="1"/>
      <c r="V19" s="17"/>
      <c r="W19" s="1"/>
      <c r="X19" s="1"/>
      <c r="Y19" s="1"/>
      <c r="Z19" s="1"/>
      <c r="AA19" s="1"/>
      <c r="AB19" s="17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DD19" s="1">
        <v>4.1059110758668629</v>
      </c>
    </row>
    <row r="20" spans="1:108" x14ac:dyDescent="0.25">
      <c r="A20" s="8">
        <f t="shared" si="2"/>
        <v>1853</v>
      </c>
      <c r="C20" s="17"/>
      <c r="D20" s="17"/>
      <c r="E20" s="1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7"/>
      <c r="S20" s="1"/>
      <c r="T20" s="1"/>
      <c r="U20" s="1"/>
      <c r="V20" s="17"/>
      <c r="W20" s="1"/>
      <c r="X20" s="1"/>
      <c r="Y20" s="1"/>
      <c r="Z20" s="1"/>
      <c r="AA20" s="1"/>
      <c r="AB20" s="17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3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DD20" s="1">
        <v>3.9078013654731896</v>
      </c>
    </row>
    <row r="21" spans="1:108" x14ac:dyDescent="0.25">
      <c r="A21" s="8">
        <f t="shared" si="2"/>
        <v>1854</v>
      </c>
      <c r="C21" s="17">
        <v>14.103197323697373</v>
      </c>
      <c r="D21" s="17">
        <v>14.083332297480391</v>
      </c>
      <c r="E21" s="17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7"/>
      <c r="S21" s="1"/>
      <c r="T21" s="1"/>
      <c r="U21" s="1"/>
      <c r="V21" s="17"/>
      <c r="W21" s="10"/>
      <c r="X21" s="1"/>
      <c r="Y21" s="1"/>
      <c r="Z21" s="1"/>
      <c r="AA21" s="1"/>
      <c r="AB21" s="17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6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DD21" s="1">
        <v>4.2556161466933169</v>
      </c>
    </row>
    <row r="22" spans="1:108" x14ac:dyDescent="0.25">
      <c r="A22" s="8">
        <f t="shared" si="2"/>
        <v>1855</v>
      </c>
      <c r="C22" s="17">
        <v>14.615357807625735</v>
      </c>
      <c r="D22" s="17">
        <v>14.583347696844182</v>
      </c>
      <c r="E22" s="17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7"/>
      <c r="S22" s="1"/>
      <c r="T22" s="1"/>
      <c r="U22" s="1"/>
      <c r="V22" s="17"/>
      <c r="W22" s="1"/>
      <c r="X22" s="1"/>
      <c r="Y22" s="1"/>
      <c r="Z22" s="1"/>
      <c r="AA22" s="1"/>
      <c r="AB22" s="17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6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DD22" s="1">
        <v>4.3650256026223158</v>
      </c>
    </row>
    <row r="23" spans="1:108" x14ac:dyDescent="0.25">
      <c r="A23" s="8">
        <f t="shared" si="2"/>
        <v>1856</v>
      </c>
      <c r="C23" s="17">
        <v>10.76402200324431</v>
      </c>
      <c r="D23" s="17">
        <v>10.749996103844911</v>
      </c>
      <c r="E23" s="1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7"/>
      <c r="S23" s="1"/>
      <c r="T23" s="1"/>
      <c r="U23" s="1"/>
      <c r="V23" s="17"/>
      <c r="W23" s="1"/>
      <c r="X23" s="1"/>
      <c r="Y23" s="1"/>
      <c r="Z23" s="1"/>
      <c r="AA23" s="1"/>
      <c r="AB23" s="17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6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DD23" s="1">
        <v>4.528204129823151</v>
      </c>
    </row>
    <row r="24" spans="1:108" x14ac:dyDescent="0.25">
      <c r="A24" s="8">
        <f t="shared" si="2"/>
        <v>1857</v>
      </c>
      <c r="C24" s="17">
        <v>11.443868777449964</v>
      </c>
      <c r="D24" s="17">
        <v>11.416666201915149</v>
      </c>
      <c r="E24" s="17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7"/>
      <c r="S24" s="1"/>
      <c r="T24" s="1"/>
      <c r="U24" s="1"/>
      <c r="V24" s="17"/>
      <c r="W24" s="1"/>
      <c r="X24" s="1"/>
      <c r="Y24" s="1"/>
      <c r="Z24" s="1"/>
      <c r="AA24" s="1"/>
      <c r="AB24" s="17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6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DD24" s="1">
        <v>5.0124584492048294</v>
      </c>
    </row>
    <row r="25" spans="1:108" x14ac:dyDescent="0.25">
      <c r="A25" s="8">
        <f t="shared" si="2"/>
        <v>1858</v>
      </c>
      <c r="C25" s="17">
        <v>9.0114227349071232</v>
      </c>
      <c r="D25" s="17">
        <v>9.0003851084722193</v>
      </c>
      <c r="E25" s="17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7"/>
      <c r="S25" s="1"/>
      <c r="T25" s="1">
        <f>2240*0.0089998593141992</f>
        <v>20.159684863806209</v>
      </c>
      <c r="U25" s="3"/>
      <c r="V25" s="17"/>
      <c r="W25" s="1"/>
      <c r="X25" s="1"/>
      <c r="Y25" s="1"/>
      <c r="Z25" s="1"/>
      <c r="AA25" s="1"/>
      <c r="AB25" s="17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6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DD25" s="1">
        <v>5.7520430838294079</v>
      </c>
    </row>
    <row r="26" spans="1:108" x14ac:dyDescent="0.25">
      <c r="A26" s="8">
        <f t="shared" si="2"/>
        <v>1859</v>
      </c>
      <c r="C26" s="17">
        <v>11.128935267555438</v>
      </c>
      <c r="D26" s="17">
        <v>11.166668831028288</v>
      </c>
      <c r="E26" s="17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7"/>
      <c r="S26" s="1"/>
      <c r="T26" s="1"/>
      <c r="V26" s="17"/>
      <c r="W26" s="1"/>
      <c r="X26" s="1"/>
      <c r="Y26" s="1"/>
      <c r="Z26" s="1"/>
      <c r="AA26" s="1"/>
      <c r="AB26" s="17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6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DD26" s="1">
        <v>6.8547456846919248</v>
      </c>
    </row>
    <row r="27" spans="1:108" x14ac:dyDescent="0.25">
      <c r="A27" s="8">
        <f t="shared" si="2"/>
        <v>1860</v>
      </c>
      <c r="C27" s="17">
        <v>13.369819123129771</v>
      </c>
      <c r="D27" s="17">
        <v>13.416668797790452</v>
      </c>
      <c r="E27" s="17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7"/>
      <c r="S27" s="1"/>
      <c r="T27" s="1"/>
      <c r="V27" s="17"/>
      <c r="W27" s="1"/>
      <c r="X27" s="1"/>
      <c r="Y27" s="1"/>
      <c r="Z27" s="1"/>
      <c r="AA27" s="1"/>
      <c r="AB27" s="17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6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DD27" s="1">
        <v>6.9501410826018928</v>
      </c>
    </row>
    <row r="28" spans="1:108" x14ac:dyDescent="0.25">
      <c r="A28" s="8">
        <f t="shared" si="2"/>
        <v>1861</v>
      </c>
      <c r="C28" s="17">
        <v>12.898024026982984</v>
      </c>
      <c r="D28" s="17">
        <v>12.916661827860839</v>
      </c>
      <c r="E28" s="17"/>
      <c r="F28" s="1"/>
      <c r="G28" s="1"/>
      <c r="H28" s="17"/>
      <c r="I28" s="1"/>
      <c r="J28" s="1"/>
      <c r="K28" s="1"/>
      <c r="L28" s="1"/>
      <c r="M28" s="1"/>
      <c r="N28" s="1"/>
      <c r="O28" s="1"/>
      <c r="P28" s="1"/>
      <c r="Q28" s="1"/>
      <c r="R28" s="17"/>
      <c r="S28" s="1"/>
      <c r="T28" s="1"/>
      <c r="V28" s="17"/>
      <c r="W28" s="1"/>
      <c r="X28" s="1"/>
      <c r="Y28" s="1"/>
      <c r="Z28" s="1"/>
      <c r="AA28" s="1"/>
      <c r="AB28" s="17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6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DD28" s="1">
        <v>4.6756035577378006</v>
      </c>
    </row>
    <row r="29" spans="1:108" x14ac:dyDescent="0.25">
      <c r="A29" s="8">
        <f t="shared" si="2"/>
        <v>1862</v>
      </c>
      <c r="C29" s="17">
        <v>12.259460966998478</v>
      </c>
      <c r="D29" s="17">
        <v>12.249999803466691</v>
      </c>
      <c r="E29" s="17"/>
      <c r="F29" s="1"/>
      <c r="G29" s="1"/>
      <c r="H29" s="17"/>
      <c r="I29" s="1"/>
      <c r="J29" s="1"/>
      <c r="K29" s="1"/>
      <c r="L29" s="1"/>
      <c r="M29" s="1"/>
      <c r="N29" s="1"/>
      <c r="O29" s="1"/>
      <c r="P29" s="1"/>
      <c r="Q29" s="1"/>
      <c r="R29" s="17"/>
      <c r="S29" s="1"/>
      <c r="T29" s="1"/>
      <c r="U29" s="1"/>
      <c r="V29" s="17"/>
      <c r="W29" s="1"/>
      <c r="X29" s="1"/>
      <c r="Y29" s="1"/>
      <c r="Z29" s="1"/>
      <c r="AA29" s="1"/>
      <c r="AB29" s="17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6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DD29" s="1">
        <v>4.5783137438081161</v>
      </c>
    </row>
    <row r="30" spans="1:108" x14ac:dyDescent="0.25">
      <c r="A30" s="8">
        <f t="shared" si="2"/>
        <v>1863</v>
      </c>
      <c r="C30" s="17">
        <v>12.159438326708802</v>
      </c>
      <c r="D30" s="17">
        <v>12.166663554019983</v>
      </c>
      <c r="E30" s="17"/>
      <c r="F30" s="1"/>
      <c r="G30" s="1"/>
      <c r="H30" s="17"/>
      <c r="I30" s="1"/>
      <c r="J30" s="1"/>
      <c r="K30" s="1"/>
      <c r="L30" s="1"/>
      <c r="M30" s="1"/>
      <c r="N30" s="1"/>
      <c r="O30" s="1"/>
      <c r="P30" s="1"/>
      <c r="Q30" s="1"/>
      <c r="R30" s="17"/>
      <c r="S30" s="1"/>
      <c r="U30" s="1"/>
      <c r="V30" s="17"/>
      <c r="W30" s="1"/>
      <c r="X30" s="1"/>
      <c r="Y30" s="1"/>
      <c r="Z30" s="1"/>
      <c r="AA30" s="1"/>
      <c r="AB30" s="17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6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DD30" s="1">
        <v>4.2275207029778965</v>
      </c>
    </row>
    <row r="31" spans="1:108" x14ac:dyDescent="0.25">
      <c r="A31" s="8">
        <f t="shared" si="2"/>
        <v>1864</v>
      </c>
      <c r="C31" s="17">
        <v>11.350700359198783</v>
      </c>
      <c r="D31" s="17">
        <v>11.33333928810683</v>
      </c>
      <c r="E31" s="17"/>
      <c r="G31" s="1"/>
      <c r="H31" s="17"/>
      <c r="I31" s="1"/>
      <c r="J31" s="1"/>
      <c r="K31" s="1">
        <f>2240*0.00341380250954719</f>
        <v>7.6469176213857057</v>
      </c>
      <c r="L31" s="1"/>
      <c r="M31" s="1"/>
      <c r="N31" s="1"/>
      <c r="O31" s="1"/>
      <c r="P31" s="1"/>
      <c r="Q31" s="1"/>
      <c r="R31" s="17"/>
      <c r="S31" s="1"/>
      <c r="U31" s="1"/>
      <c r="V31" s="19"/>
      <c r="W31" s="1"/>
      <c r="X31" s="1"/>
      <c r="Y31" s="1"/>
      <c r="Z31" s="1"/>
      <c r="AA31" s="1"/>
      <c r="AB31" s="17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3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>
        <f>2240*0.005125</f>
        <v>11.48</v>
      </c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DD31" s="1">
        <v>5.6285918467201101</v>
      </c>
    </row>
    <row r="32" spans="1:108" x14ac:dyDescent="0.25">
      <c r="A32" s="8">
        <f t="shared" si="2"/>
        <v>1865</v>
      </c>
      <c r="C32" s="17">
        <v>13.73</v>
      </c>
      <c r="D32" s="17">
        <v>13.749998209546128</v>
      </c>
      <c r="E32" s="17"/>
      <c r="F32" s="18"/>
      <c r="G32" s="17"/>
      <c r="H32" s="17"/>
      <c r="I32" s="1"/>
      <c r="J32" s="1"/>
      <c r="K32" s="1">
        <f>2240*0.00300941080196399</f>
        <v>6.7410801963993379</v>
      </c>
      <c r="L32" s="1"/>
      <c r="M32" s="1"/>
      <c r="N32" s="1"/>
      <c r="O32" s="1"/>
      <c r="P32" s="1"/>
      <c r="Q32" s="1"/>
      <c r="R32" s="17"/>
      <c r="S32" s="1"/>
      <c r="U32" s="1"/>
      <c r="V32" s="17"/>
      <c r="W32" s="1"/>
      <c r="X32" s="1"/>
      <c r="Y32" s="1"/>
      <c r="Z32" s="1"/>
      <c r="AA32" s="1"/>
      <c r="AB32" s="17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1"/>
      <c r="AT32" s="1"/>
      <c r="AU32" s="1"/>
      <c r="AV32" s="1"/>
      <c r="AW32" s="1"/>
      <c r="AX32" s="1"/>
      <c r="AY32" s="3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DD32" s="1">
        <v>7.0986656088111815</v>
      </c>
    </row>
    <row r="33" spans="1:109" x14ac:dyDescent="0.25">
      <c r="A33" s="8">
        <f t="shared" si="2"/>
        <v>1866</v>
      </c>
      <c r="C33" s="17">
        <v>13.58</v>
      </c>
      <c r="D33" s="17">
        <v>13.583331600763561</v>
      </c>
      <c r="E33" s="17"/>
      <c r="F33" s="17">
        <f>2240*0.00488589146713986</f>
        <v>10.944396886393285</v>
      </c>
      <c r="G33" s="17"/>
      <c r="H33" s="17">
        <f>2240*0.0053480824049605</f>
        <v>11.97970458711152</v>
      </c>
      <c r="I33" s="1"/>
      <c r="J33" s="1"/>
      <c r="K33" s="3">
        <f>2240*0.00208510638297872</f>
        <v>4.6706382978723333</v>
      </c>
      <c r="L33" s="1"/>
      <c r="M33" s="1"/>
      <c r="N33" s="1"/>
      <c r="O33" s="1"/>
      <c r="P33" s="1"/>
      <c r="Q33" s="1"/>
      <c r="R33" s="17"/>
      <c r="S33" s="1"/>
      <c r="V33" s="17"/>
      <c r="W33" s="1"/>
      <c r="X33" s="1"/>
      <c r="Y33" s="1"/>
      <c r="Z33" s="1"/>
      <c r="AA33" s="1"/>
      <c r="AB33" s="17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3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DD33" s="1">
        <v>9.9234501281828429</v>
      </c>
    </row>
    <row r="34" spans="1:109" x14ac:dyDescent="0.25">
      <c r="A34" s="8">
        <f t="shared" si="2"/>
        <v>1867</v>
      </c>
      <c r="C34" s="17">
        <v>14.64</v>
      </c>
      <c r="D34" s="17">
        <v>14.666666666666666</v>
      </c>
      <c r="E34" s="17"/>
      <c r="F34" s="17">
        <f>2240*0.00789661148138833</f>
        <v>17.68840971830986</v>
      </c>
      <c r="G34" s="17">
        <f>2240*0.00597438787074231</f>
        <v>13.382628830462775</v>
      </c>
      <c r="H34" s="17">
        <f>2240*0.00601272034470283</f>
        <v>13.468493572134339</v>
      </c>
      <c r="I34" s="1"/>
      <c r="J34" s="1"/>
      <c r="K34" s="3">
        <f>2240*0.00268412438625205</f>
        <v>6.0124386252045916</v>
      </c>
      <c r="L34" s="1"/>
      <c r="M34" s="1"/>
      <c r="N34" s="1"/>
      <c r="O34" s="1"/>
      <c r="P34" s="1"/>
      <c r="Q34" s="1"/>
      <c r="R34" s="17"/>
      <c r="S34" s="1"/>
      <c r="V34" s="17"/>
      <c r="W34" s="1"/>
      <c r="X34" s="1"/>
      <c r="Y34" s="1"/>
      <c r="Z34" s="1"/>
      <c r="AA34" s="1"/>
      <c r="AB34" s="17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3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DD34" s="1">
        <v>7.2935062964391228</v>
      </c>
    </row>
    <row r="35" spans="1:109" x14ac:dyDescent="0.25">
      <c r="A35" s="8">
        <f t="shared" si="2"/>
        <v>1868</v>
      </c>
      <c r="C35" s="17">
        <v>12.29</v>
      </c>
      <c r="D35" s="17">
        <v>12.333336599034006</v>
      </c>
      <c r="E35" s="17"/>
      <c r="F35" s="17">
        <f>2240*0.0033746174185201</f>
        <v>7.5591430174850238</v>
      </c>
      <c r="G35" s="17"/>
      <c r="H35" s="17">
        <f>2240*0.00428670349165377</f>
        <v>9.6022158213044442</v>
      </c>
      <c r="I35" s="1"/>
      <c r="J35" s="1"/>
      <c r="K35" s="3">
        <f>2240*0.00231860338243317</f>
        <v>5.193671576650301</v>
      </c>
      <c r="L35" s="1"/>
      <c r="M35" s="1"/>
      <c r="N35" s="1"/>
      <c r="O35" s="1"/>
      <c r="P35" s="1"/>
      <c r="Q35" s="1"/>
      <c r="R35" s="17"/>
      <c r="S35" s="1"/>
      <c r="V35" s="17"/>
      <c r="W35" s="1"/>
      <c r="X35" s="1"/>
      <c r="Y35" s="1"/>
      <c r="Z35" s="1"/>
      <c r="AA35" s="1"/>
      <c r="AB35" s="17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3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DD35" s="1">
        <v>5.4383168846489269</v>
      </c>
    </row>
    <row r="36" spans="1:109" x14ac:dyDescent="0.25">
      <c r="A36" s="8">
        <f t="shared" si="2"/>
        <v>1869</v>
      </c>
      <c r="C36" s="17">
        <v>10.67</v>
      </c>
      <c r="D36" s="17">
        <v>10.666660826449178</v>
      </c>
      <c r="E36" s="17"/>
      <c r="F36" s="17">
        <f>2240*0.0036592644829923</f>
        <v>8.1967524419027527</v>
      </c>
      <c r="G36" s="17">
        <f>2240*0.00451231023196574</f>
        <v>10.107574919603259</v>
      </c>
      <c r="H36" s="17">
        <f>2240*0.00368226316191988</f>
        <v>8.2482694827005307</v>
      </c>
      <c r="I36" s="1"/>
      <c r="J36" s="1"/>
      <c r="K36" s="1"/>
      <c r="L36" s="1"/>
      <c r="M36" s="1"/>
      <c r="N36" s="1"/>
      <c r="O36" s="1"/>
      <c r="P36" s="1"/>
      <c r="Q36" s="1"/>
      <c r="R36" s="17"/>
      <c r="S36" s="1"/>
      <c r="V36" s="17"/>
      <c r="W36" s="1"/>
      <c r="X36" s="1"/>
      <c r="Y36" s="1"/>
      <c r="Z36" s="1"/>
      <c r="AA36" s="1"/>
      <c r="AB36" s="17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3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DD36" s="1">
        <v>6.5213029342519926</v>
      </c>
    </row>
    <row r="37" spans="1:109" x14ac:dyDescent="0.25">
      <c r="A37" s="8">
        <f t="shared" si="2"/>
        <v>1870</v>
      </c>
      <c r="C37" s="17">
        <v>10.58</v>
      </c>
      <c r="D37" s="17">
        <v>10.583330332385035</v>
      </c>
      <c r="E37" s="17"/>
      <c r="F37" s="17">
        <f>2240*0.00503483194799055</f>
        <v>11.278023563498831</v>
      </c>
      <c r="G37" s="17"/>
      <c r="H37" s="17">
        <f>2240*0.00582332669450083</f>
        <v>13.044251795681859</v>
      </c>
      <c r="I37" s="1"/>
      <c r="J37" s="1"/>
      <c r="K37" s="1"/>
      <c r="L37" s="1"/>
      <c r="M37" s="1"/>
      <c r="N37" s="1"/>
      <c r="O37" s="1"/>
      <c r="P37" s="1"/>
      <c r="Q37" s="1"/>
      <c r="R37" s="17"/>
      <c r="S37" s="1"/>
      <c r="T37" s="1"/>
      <c r="V37" s="17"/>
      <c r="W37" s="1"/>
      <c r="X37" s="1"/>
      <c r="Y37" s="1"/>
      <c r="Z37" s="1"/>
      <c r="AA37" s="1"/>
      <c r="AB37" s="17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4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>
        <f>2240*0.00898692810457516</f>
        <v>20.130718954248358</v>
      </c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DD37" s="1">
        <v>5.5507379302845772</v>
      </c>
    </row>
    <row r="38" spans="1:109" x14ac:dyDescent="0.25">
      <c r="A38" s="8">
        <f t="shared" si="2"/>
        <v>1871</v>
      </c>
      <c r="C38" s="17">
        <v>10.19</v>
      </c>
      <c r="D38" s="17">
        <v>12.308464509066583</v>
      </c>
      <c r="E38" s="17"/>
      <c r="F38" s="17"/>
      <c r="G38" s="17"/>
      <c r="H38" s="17">
        <f>2240*0.0082375676853657</f>
        <v>18.452151615219165</v>
      </c>
      <c r="I38" s="1"/>
      <c r="J38" s="1"/>
      <c r="L38" s="1"/>
      <c r="M38" s="1"/>
      <c r="N38" s="1"/>
      <c r="O38" s="1"/>
      <c r="P38" s="1"/>
      <c r="Q38" s="1"/>
      <c r="R38" s="17"/>
      <c r="S38" s="1"/>
      <c r="T38" s="1"/>
      <c r="V38" s="17"/>
      <c r="W38" s="1"/>
      <c r="X38" s="1"/>
      <c r="Y38" s="1">
        <v>15.65625</v>
      </c>
      <c r="Z38" s="1"/>
      <c r="AA38" s="1"/>
      <c r="AB38" s="17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3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>
        <f>2240*0.00326797385620915</f>
        <v>7.3202614379084956</v>
      </c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DD38" s="1">
        <v>5.3819434089213258</v>
      </c>
    </row>
    <row r="39" spans="1:109" x14ac:dyDescent="0.25">
      <c r="A39" s="8">
        <f t="shared" si="2"/>
        <v>1872</v>
      </c>
      <c r="C39" s="17">
        <v>10</v>
      </c>
      <c r="D39" s="17">
        <v>12.607540507999966</v>
      </c>
      <c r="E39" s="17"/>
      <c r="F39" s="17"/>
      <c r="G39" s="17"/>
      <c r="H39" s="17">
        <f>2240*0.00322450248756219</f>
        <v>7.2228855721393055</v>
      </c>
      <c r="I39" s="1"/>
      <c r="J39" s="1"/>
      <c r="K39" s="1"/>
      <c r="L39" s="1"/>
      <c r="M39" s="1"/>
      <c r="N39" s="1"/>
      <c r="O39" s="1"/>
      <c r="P39" s="1"/>
      <c r="Q39" s="1"/>
      <c r="R39" s="17"/>
      <c r="T39" s="1"/>
      <c r="V39" s="17"/>
      <c r="W39" s="1"/>
      <c r="X39" s="1"/>
      <c r="Y39" s="1">
        <v>16.78125</v>
      </c>
      <c r="Z39" s="1"/>
      <c r="AA39" s="1"/>
      <c r="AB39" s="17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3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DD39" s="1">
        <v>5.0880807822578626</v>
      </c>
    </row>
    <row r="40" spans="1:109" x14ac:dyDescent="0.25">
      <c r="A40" s="8">
        <f t="shared" ref="A40:A71" si="3">A39+1</f>
        <v>1873</v>
      </c>
      <c r="C40" s="17">
        <v>9.92</v>
      </c>
      <c r="D40" s="17">
        <v>11.740083761545105</v>
      </c>
      <c r="E40" s="17"/>
      <c r="F40" s="17"/>
      <c r="G40" s="17"/>
      <c r="H40" s="17">
        <f>2240*0.00324160447761194</f>
        <v>7.2611940298507456</v>
      </c>
      <c r="I40" s="3">
        <f>2240*0.00184988839285714</f>
        <v>4.1437499999999936</v>
      </c>
      <c r="J40" s="1"/>
      <c r="K40" s="1"/>
      <c r="L40" s="1"/>
      <c r="M40" s="1"/>
      <c r="N40" s="1"/>
      <c r="O40" s="1"/>
      <c r="P40" s="1"/>
      <c r="Q40" s="1"/>
      <c r="R40" s="17"/>
      <c r="S40" s="1">
        <f>2240*0.00840227399143304</f>
        <v>18.82109374081001</v>
      </c>
      <c r="T40" s="1"/>
      <c r="U40" s="1"/>
      <c r="V40" s="17"/>
      <c r="W40" s="1"/>
      <c r="X40" s="1"/>
      <c r="Y40" s="1">
        <v>18.291666666666664</v>
      </c>
      <c r="Z40" s="1"/>
      <c r="AA40" s="1"/>
      <c r="AB40" s="17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4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W40" s="1">
        <f>2240*0.00317460317460317</f>
        <v>7.1111111111111001</v>
      </c>
      <c r="BX40" s="1"/>
      <c r="BY40" s="1"/>
      <c r="BZ40" s="1"/>
      <c r="CA40" s="1"/>
      <c r="CB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T40" s="1"/>
      <c r="CU40" s="1"/>
      <c r="CV40" s="1"/>
      <c r="CW40" s="1"/>
      <c r="CX40" s="1"/>
      <c r="CY40" s="1"/>
      <c r="DD40" s="1">
        <v>5.6077829130209293</v>
      </c>
      <c r="DE40" s="1">
        <v>6.2423500575674469</v>
      </c>
    </row>
    <row r="41" spans="1:109" x14ac:dyDescent="0.25">
      <c r="A41" s="8">
        <f t="shared" si="3"/>
        <v>1874</v>
      </c>
      <c r="C41" s="17">
        <v>10.33</v>
      </c>
      <c r="D41" s="17">
        <v>12.304800755710003</v>
      </c>
      <c r="E41" s="17"/>
      <c r="G41" s="17"/>
      <c r="H41" s="17">
        <f>2240*0.00317164179104478</f>
        <v>7.1044776119403066</v>
      </c>
      <c r="J41" s="1"/>
      <c r="K41" s="1"/>
      <c r="L41" s="1"/>
      <c r="M41" s="1"/>
      <c r="N41" s="1"/>
      <c r="O41" s="1"/>
      <c r="P41" s="1"/>
      <c r="Q41" s="1"/>
      <c r="R41" s="17"/>
      <c r="S41" s="1">
        <f>2240*0.00755968345272965</f>
        <v>16.933690934114416</v>
      </c>
      <c r="T41" s="1"/>
      <c r="U41" s="1"/>
      <c r="V41" s="17"/>
      <c r="W41" s="1"/>
      <c r="X41" s="1"/>
      <c r="Y41" s="1"/>
      <c r="Z41" s="1"/>
      <c r="AA41" s="1"/>
      <c r="AB41" s="17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3"/>
      <c r="AZ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W41" s="1">
        <f>2240*0.00209156402509877</f>
        <v>4.6851034162212448</v>
      </c>
      <c r="BX41" s="1">
        <f>2240*0.00313725490196078</f>
        <v>7.027450980392147</v>
      </c>
      <c r="BY41" s="3"/>
      <c r="BZ41" s="3"/>
      <c r="CA41" s="3"/>
      <c r="CB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Q41" s="1">
        <f>(1/112*2240)*0.582728666386923</f>
        <v>11.65457332773846</v>
      </c>
      <c r="CR41" s="20"/>
      <c r="CT41" s="1"/>
      <c r="CU41" s="1"/>
      <c r="CV41" s="1"/>
      <c r="CW41" s="1"/>
      <c r="CX41" s="1"/>
      <c r="CY41" s="1"/>
      <c r="DD41" s="1">
        <v>7.8469039034782231</v>
      </c>
      <c r="DE41" s="1"/>
    </row>
    <row r="42" spans="1:109" x14ac:dyDescent="0.25">
      <c r="A42" s="8">
        <f t="shared" si="3"/>
        <v>1875</v>
      </c>
      <c r="C42" s="17">
        <v>8.9499999999999993</v>
      </c>
      <c r="D42" s="17">
        <v>11.003075858577642</v>
      </c>
      <c r="E42" s="17"/>
      <c r="F42" s="17"/>
      <c r="G42" s="17"/>
      <c r="H42" s="17">
        <f>2240*0.00315151515151515</f>
        <v>7.059393939393936</v>
      </c>
      <c r="J42" s="1"/>
      <c r="L42" s="1"/>
      <c r="M42" s="1"/>
      <c r="N42" s="1"/>
      <c r="O42" s="1"/>
      <c r="P42" s="1"/>
      <c r="Q42" s="1"/>
      <c r="R42" s="17"/>
      <c r="S42" s="1">
        <f>2240*0.00736776925345537</f>
        <v>16.503803127740028</v>
      </c>
      <c r="T42" s="1"/>
      <c r="U42" s="1"/>
      <c r="V42" s="17"/>
      <c r="W42" s="1"/>
      <c r="X42" s="1"/>
      <c r="Y42" s="1"/>
      <c r="Z42" s="1"/>
      <c r="AA42" s="1"/>
      <c r="AB42" s="17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3"/>
      <c r="AZ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W42" s="1">
        <f>2240*0.00200695652173913</f>
        <v>4.495582608695651</v>
      </c>
      <c r="BY42" s="1"/>
      <c r="BZ42" s="1"/>
      <c r="CA42" s="1"/>
      <c r="CB42" s="1"/>
      <c r="CC42" s="1">
        <f>2240*0.0021577380952381</f>
        <v>4.8333333333333446</v>
      </c>
      <c r="CD42" s="3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Q42" s="1">
        <f>(1/112*2240)*0.493729391349761</f>
        <v>9.8745878269952208</v>
      </c>
      <c r="CR42" s="1"/>
      <c r="CT42" s="1"/>
      <c r="CU42" s="1"/>
      <c r="CV42" s="1"/>
      <c r="CW42" s="1"/>
      <c r="CX42" s="1"/>
      <c r="CY42" s="1"/>
      <c r="DD42" s="1">
        <v>7.0850618448165283</v>
      </c>
      <c r="DE42" s="1"/>
    </row>
    <row r="43" spans="1:109" x14ac:dyDescent="0.25">
      <c r="A43" s="8">
        <f t="shared" si="3"/>
        <v>1876</v>
      </c>
      <c r="C43" s="17">
        <v>9.06</v>
      </c>
      <c r="D43" s="17">
        <v>10.740606916430709</v>
      </c>
      <c r="E43" s="17"/>
      <c r="F43" s="17"/>
      <c r="G43" s="17"/>
      <c r="H43" s="17">
        <f>2240*0.00328282828282828</f>
        <v>7.3535353535353476</v>
      </c>
      <c r="J43" s="1"/>
      <c r="L43" s="1"/>
      <c r="M43" s="1"/>
      <c r="N43" s="1"/>
      <c r="O43" s="1"/>
      <c r="P43" s="1"/>
      <c r="Q43" s="1"/>
      <c r="R43" s="17"/>
      <c r="S43" s="1">
        <f>2240*0.00821428975030817</f>
        <v>18.4000090406903</v>
      </c>
      <c r="T43" s="1"/>
      <c r="U43" s="1"/>
      <c r="V43" s="17"/>
      <c r="W43" s="1"/>
      <c r="X43" s="1"/>
      <c r="Y43" s="1">
        <v>11</v>
      </c>
      <c r="Z43" s="1"/>
      <c r="AA43" s="1"/>
      <c r="AB43" s="17"/>
      <c r="AC43" s="17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3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Y43" s="1"/>
      <c r="BZ43" s="1"/>
      <c r="CA43" s="1"/>
      <c r="CB43" s="1"/>
      <c r="CC43" s="1">
        <f>2240*0.00223214285714286</f>
        <v>5.0000000000000062</v>
      </c>
      <c r="CD43" s="3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Q43" s="1">
        <f>(1/112*2240)*0.47652916582177</f>
        <v>9.5305833164354006</v>
      </c>
      <c r="CR43" s="1"/>
      <c r="CT43" s="1"/>
      <c r="CU43" s="1"/>
      <c r="CV43" s="1"/>
      <c r="CW43" s="1"/>
      <c r="CX43" s="1"/>
      <c r="CY43" s="1"/>
      <c r="DD43" s="1">
        <v>5.5684579089648025</v>
      </c>
      <c r="DE43" s="1"/>
    </row>
    <row r="44" spans="1:109" x14ac:dyDescent="0.25">
      <c r="A44" s="8">
        <f t="shared" si="3"/>
        <v>1877</v>
      </c>
      <c r="C44" s="17">
        <v>10.55</v>
      </c>
      <c r="D44" s="17">
        <v>12.572755452258406</v>
      </c>
      <c r="E44" s="17"/>
      <c r="F44" s="17">
        <f>2240*0.00454169252712324</f>
        <v>10.173391260756057</v>
      </c>
      <c r="G44" s="17">
        <f>2240*0.00525933034787446</f>
        <v>11.780899979238789</v>
      </c>
      <c r="H44" s="17">
        <f>2240*0.00363636363636364</f>
        <v>8.1454545454545535</v>
      </c>
      <c r="J44" s="1"/>
      <c r="L44" s="1"/>
      <c r="M44" s="1"/>
      <c r="N44" s="1"/>
      <c r="O44" s="1"/>
      <c r="P44" s="1"/>
      <c r="Q44" s="1"/>
      <c r="R44" s="17"/>
      <c r="S44" s="1">
        <f>2240*0.00854800721257632</f>
        <v>19.147536156170954</v>
      </c>
      <c r="T44" s="1"/>
      <c r="U44" s="1"/>
      <c r="V44" s="17"/>
      <c r="W44" s="1"/>
      <c r="X44" s="1"/>
      <c r="Y44" s="1"/>
      <c r="Z44" s="1"/>
      <c r="AA44" s="1"/>
      <c r="AB44" s="17"/>
      <c r="AC44" s="17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3"/>
      <c r="AZ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3"/>
      <c r="CO44" s="3"/>
      <c r="CP44" s="3"/>
      <c r="CQ44" s="1">
        <f>(1/112*2240)*0.557056384157469</f>
        <v>11.141127683149382</v>
      </c>
      <c r="CR44" s="1"/>
      <c r="CT44" s="1"/>
      <c r="CU44" s="1"/>
      <c r="CV44" s="1"/>
      <c r="CW44" s="1"/>
      <c r="CX44" s="1"/>
      <c r="CY44" s="1"/>
      <c r="DD44" s="1">
        <v>7.7354174840054615</v>
      </c>
      <c r="DE44" s="1"/>
    </row>
    <row r="45" spans="1:109" x14ac:dyDescent="0.25">
      <c r="A45" s="8">
        <f t="shared" si="3"/>
        <v>1878</v>
      </c>
      <c r="C45" s="17">
        <v>10.48</v>
      </c>
      <c r="D45" s="17">
        <v>12.646175552901486</v>
      </c>
      <c r="E45" s="17"/>
      <c r="F45" s="1"/>
      <c r="G45" s="17">
        <f>2240*0.00446428571428571</f>
        <v>9.9999999999999893</v>
      </c>
      <c r="H45" s="17"/>
      <c r="J45" s="1"/>
      <c r="L45" s="1"/>
      <c r="M45" s="1"/>
      <c r="N45" s="1"/>
      <c r="O45" s="1"/>
      <c r="P45" s="1"/>
      <c r="Q45" s="1"/>
      <c r="R45" s="17"/>
      <c r="S45" s="1"/>
      <c r="T45" s="1"/>
      <c r="U45" s="1"/>
      <c r="V45" s="17"/>
      <c r="W45" s="1"/>
      <c r="X45" s="1"/>
      <c r="Y45" s="1">
        <v>16.48544423440454</v>
      </c>
      <c r="Z45" s="1"/>
      <c r="AA45" s="1"/>
      <c r="AB45" s="17"/>
      <c r="AC45" s="17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3"/>
      <c r="AZ45" s="1"/>
      <c r="BA45" s="17">
        <v>17.678571428571427</v>
      </c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3"/>
      <c r="CO45" s="3"/>
      <c r="CP45" s="3"/>
      <c r="CQ45" s="1">
        <f>(1/112*2240)*0.581253981098056</f>
        <v>11.62507962196112</v>
      </c>
      <c r="CR45" s="1"/>
      <c r="CT45" s="1"/>
      <c r="CU45" s="1"/>
      <c r="CV45" s="1"/>
      <c r="CW45" s="1"/>
      <c r="CX45" s="1"/>
      <c r="CY45" s="1"/>
      <c r="DD45" s="1">
        <v>8.3007011599028537</v>
      </c>
      <c r="DE45" s="1"/>
    </row>
    <row r="46" spans="1:109" x14ac:dyDescent="0.25">
      <c r="A46" s="8">
        <f t="shared" si="3"/>
        <v>1879</v>
      </c>
      <c r="C46" s="17">
        <v>10.15</v>
      </c>
      <c r="D46" s="17">
        <v>12.111918445967746</v>
      </c>
      <c r="E46" s="17"/>
      <c r="G46" s="17"/>
      <c r="H46" s="17"/>
      <c r="J46" s="1"/>
      <c r="L46" s="1"/>
      <c r="M46" s="1"/>
      <c r="N46" s="1"/>
      <c r="O46" s="1"/>
      <c r="P46" s="1"/>
      <c r="Q46" s="1"/>
      <c r="R46" s="17"/>
      <c r="S46" s="1">
        <f>2240*0.00901817070526788</f>
        <v>20.200702379800049</v>
      </c>
      <c r="T46" s="1"/>
      <c r="U46" s="1"/>
      <c r="V46" s="17"/>
      <c r="W46" s="1"/>
      <c r="X46" s="1"/>
      <c r="Y46" s="1">
        <v>13.999321573948439</v>
      </c>
      <c r="Z46" s="1"/>
      <c r="AA46" s="1"/>
      <c r="AB46" s="17"/>
      <c r="AC46" s="17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3"/>
      <c r="AZ46" s="1"/>
      <c r="BA46" s="17">
        <v>21.698924731182796</v>
      </c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3"/>
      <c r="CO46" s="3"/>
      <c r="CP46" s="3"/>
      <c r="CQ46" s="1">
        <f>(1/112*2240)*0.519882513629039</f>
        <v>10.39765027258078</v>
      </c>
      <c r="CR46" s="1">
        <f>(1/112*2240)*0.340616243063461</f>
        <v>6.8123248612692198</v>
      </c>
      <c r="CT46" s="1"/>
      <c r="CU46" s="1"/>
      <c r="CV46" s="1"/>
      <c r="CW46" s="1"/>
      <c r="CX46" s="1"/>
      <c r="CY46" s="1"/>
      <c r="DD46" s="1">
        <v>8.910271947292058</v>
      </c>
      <c r="DE46" s="1"/>
    </row>
    <row r="47" spans="1:109" x14ac:dyDescent="0.25">
      <c r="A47" s="8">
        <f t="shared" si="3"/>
        <v>1880</v>
      </c>
      <c r="C47" s="17">
        <v>9.52</v>
      </c>
      <c r="D47" s="17">
        <v>11.634829111836106</v>
      </c>
      <c r="E47" s="17"/>
      <c r="G47" s="17"/>
      <c r="H47" s="17"/>
      <c r="J47" s="1"/>
      <c r="L47" s="1"/>
      <c r="M47" s="1"/>
      <c r="N47" s="1"/>
      <c r="O47" s="1"/>
      <c r="P47" s="1"/>
      <c r="Q47" s="1"/>
      <c r="R47" s="17"/>
      <c r="S47" s="1">
        <f>2240*0.00767360718337096</f>
        <v>17.188880090750949</v>
      </c>
      <c r="T47" s="1">
        <f>2240*0.00869304592848786</f>
        <v>19.472422879812804</v>
      </c>
      <c r="U47" s="3"/>
      <c r="V47" s="17"/>
      <c r="W47" s="1"/>
      <c r="X47" s="1"/>
      <c r="Y47" s="1"/>
      <c r="Z47" s="1"/>
      <c r="AA47" s="1"/>
      <c r="AB47" s="17"/>
      <c r="AC47" s="17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3"/>
      <c r="AZ47" s="1"/>
      <c r="BA47" s="18">
        <v>22.571428571428573</v>
      </c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>
        <f>(1/112*2240)*0.413061931911408</f>
        <v>8.2612386382281606</v>
      </c>
      <c r="CR47" s="1">
        <f>(1/112*2240)*0.413010763979413</f>
        <v>8.2602152795882606</v>
      </c>
      <c r="CT47" s="1"/>
      <c r="CU47" s="1"/>
      <c r="CV47" s="1"/>
      <c r="CW47" s="1"/>
      <c r="CX47" s="1"/>
      <c r="CY47" s="1"/>
      <c r="DD47" s="1">
        <v>6.9526158608533928</v>
      </c>
      <c r="DE47" s="1"/>
    </row>
    <row r="48" spans="1:109" x14ac:dyDescent="0.25">
      <c r="A48" s="8">
        <f t="shared" si="3"/>
        <v>1881</v>
      </c>
      <c r="C48" s="17">
        <v>8.64</v>
      </c>
      <c r="D48" s="17">
        <v>10.288512958339531</v>
      </c>
      <c r="E48" s="17"/>
      <c r="G48" s="17"/>
      <c r="H48" s="17"/>
      <c r="J48" s="1"/>
      <c r="K48" s="1"/>
      <c r="L48" s="1"/>
      <c r="M48" s="1"/>
      <c r="N48" s="1"/>
      <c r="O48" s="1"/>
      <c r="P48" s="1"/>
      <c r="Q48" s="1"/>
      <c r="R48" s="17"/>
      <c r="S48" s="1">
        <f>2240*0.00719432930746951</f>
        <v>16.115297648731701</v>
      </c>
      <c r="T48" s="1"/>
      <c r="U48" s="1"/>
      <c r="V48" s="17"/>
      <c r="W48" s="1"/>
      <c r="X48" s="1"/>
      <c r="Y48" s="1">
        <v>11.87648456057007</v>
      </c>
      <c r="Z48" s="1"/>
      <c r="AA48" s="1"/>
      <c r="AB48" s="17"/>
      <c r="AC48" s="17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3"/>
      <c r="AZ48" s="1"/>
      <c r="BA48" s="17">
        <v>22.671703296703299</v>
      </c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X48" s="1"/>
      <c r="BY48" s="1"/>
      <c r="BZ48" s="1"/>
      <c r="CA48" s="1"/>
      <c r="CB48" s="1"/>
      <c r="CC48" s="1"/>
      <c r="CD48" s="1"/>
      <c r="CE48" s="1"/>
      <c r="CF48" s="1">
        <f>2240*0.0042724358974359</f>
        <v>9.570256410256416</v>
      </c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>
        <f>(1/112*2240)*0.310517088028842</f>
        <v>6.2103417605768394</v>
      </c>
      <c r="CR48" s="1">
        <f>(1/112*2240)*0.350198122157527</f>
        <v>7.0039624431505398</v>
      </c>
      <c r="CT48" s="1"/>
      <c r="CU48" s="1"/>
      <c r="CV48" s="1"/>
      <c r="CW48" s="1"/>
      <c r="CX48" s="1"/>
      <c r="CY48" s="1"/>
      <c r="DD48" s="1">
        <v>5.2731142309322339</v>
      </c>
      <c r="DE48" s="1"/>
    </row>
    <row r="49" spans="1:109" x14ac:dyDescent="0.25">
      <c r="A49" s="8">
        <f t="shared" si="3"/>
        <v>1882</v>
      </c>
      <c r="C49" s="17">
        <v>7.98</v>
      </c>
      <c r="D49" s="17">
        <v>9.5062068139602491</v>
      </c>
      <c r="E49" s="17"/>
      <c r="G49" s="17"/>
      <c r="H49" s="17"/>
      <c r="J49" s="1"/>
      <c r="K49" s="1"/>
      <c r="L49" s="1"/>
      <c r="M49" s="1"/>
      <c r="N49" s="1"/>
      <c r="O49" s="1"/>
      <c r="P49" s="1"/>
      <c r="Q49" s="1"/>
      <c r="R49" s="17"/>
      <c r="S49" s="1">
        <f>2240*0.00637032003796073</f>
        <v>14.269516885032035</v>
      </c>
      <c r="T49" s="1"/>
      <c r="U49" s="1"/>
      <c r="V49" s="17">
        <v>14.227131471408619</v>
      </c>
      <c r="W49" s="1"/>
      <c r="X49" s="1"/>
      <c r="Y49" s="1">
        <v>12.022194821208386</v>
      </c>
      <c r="Z49" s="1"/>
      <c r="AA49" s="1"/>
      <c r="AB49" s="17"/>
      <c r="AC49" s="17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1"/>
      <c r="AT49" s="1"/>
      <c r="AU49" s="1"/>
      <c r="AV49" s="1"/>
      <c r="AW49" s="1"/>
      <c r="AX49" s="1">
        <v>20</v>
      </c>
      <c r="AY49" s="3"/>
      <c r="AZ49" s="1"/>
      <c r="BA49" s="17">
        <v>20.405953991880917</v>
      </c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X49" s="1"/>
      <c r="BY49" s="1"/>
      <c r="BZ49" s="1"/>
      <c r="CA49" s="1"/>
      <c r="CB49" s="1"/>
      <c r="CC49" s="1"/>
      <c r="CD49" s="1"/>
      <c r="CE49" s="1"/>
      <c r="CF49" s="1">
        <f>2240*0.00438888888888889</f>
        <v>9.8311111111111131</v>
      </c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>
        <f>(1/112*2240)*0.358668659825091</f>
        <v>7.1733731965018199</v>
      </c>
      <c r="CR49" s="1">
        <f>(1/112*2240)*0.310910814351329</f>
        <v>6.2182162870265802</v>
      </c>
      <c r="CT49" s="1"/>
      <c r="CU49" s="1"/>
      <c r="CV49" s="1"/>
      <c r="CW49" s="1"/>
      <c r="CX49" s="1"/>
      <c r="CY49" s="1"/>
      <c r="DD49" s="1">
        <v>4.8733929656772768</v>
      </c>
      <c r="DE49" s="1"/>
    </row>
    <row r="50" spans="1:109" x14ac:dyDescent="0.25">
      <c r="A50" s="8">
        <f t="shared" si="3"/>
        <v>1883</v>
      </c>
      <c r="C50" s="17">
        <v>8.1999999999999993</v>
      </c>
      <c r="D50" s="17">
        <v>9.5958721210596725</v>
      </c>
      <c r="E50" s="17"/>
      <c r="G50" s="17"/>
      <c r="H50" s="17"/>
      <c r="J50" s="1"/>
      <c r="K50" s="1"/>
      <c r="L50" s="1"/>
      <c r="M50" s="1"/>
      <c r="N50" s="1"/>
      <c r="O50" s="1"/>
      <c r="P50" s="1"/>
      <c r="Q50" s="1"/>
      <c r="R50" s="17"/>
      <c r="S50" s="1">
        <f>2240*0.00717193914698468</f>
        <v>16.065143689245684</v>
      </c>
      <c r="T50" s="1"/>
      <c r="U50" s="1"/>
      <c r="V50" s="17"/>
      <c r="W50" s="1"/>
      <c r="X50" s="1"/>
      <c r="Y50" s="1">
        <v>11.750096824167313</v>
      </c>
      <c r="Z50" s="1"/>
      <c r="AA50" s="1"/>
      <c r="AB50" s="17"/>
      <c r="AC50" s="17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>
        <v>15</v>
      </c>
      <c r="AS50" s="1"/>
      <c r="AT50" s="1"/>
      <c r="AU50" s="1"/>
      <c r="AV50" s="1">
        <f>(1/112*2240)*2</f>
        <v>40</v>
      </c>
      <c r="AW50" s="1"/>
      <c r="AX50" s="1">
        <v>20.007376263185073</v>
      </c>
      <c r="AY50" s="3"/>
      <c r="AZ50" s="1"/>
      <c r="BA50" s="17">
        <v>18.319008264462813</v>
      </c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X50" s="1"/>
      <c r="BY50" s="1"/>
      <c r="BZ50" s="1"/>
      <c r="CA50" s="1"/>
      <c r="CB50" s="1"/>
      <c r="CC50" s="1"/>
      <c r="CD50" s="1"/>
      <c r="CE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>
        <f>(1/112*2240)*0.699246502723917</f>
        <v>13.98493005447834</v>
      </c>
      <c r="CR50" s="1">
        <f>(1/112*2240)*0.388045080695282</f>
        <v>7.7609016139056397</v>
      </c>
      <c r="CT50" s="1"/>
      <c r="CU50" s="1"/>
      <c r="CV50" s="1"/>
      <c r="CW50" s="1"/>
      <c r="CX50" s="1"/>
      <c r="CY50" s="1"/>
      <c r="DD50" s="1">
        <v>5.5244581053823731</v>
      </c>
      <c r="DE50" s="1"/>
    </row>
    <row r="51" spans="1:109" x14ac:dyDescent="0.25">
      <c r="A51" s="8">
        <f t="shared" si="3"/>
        <v>1884</v>
      </c>
      <c r="C51" s="17">
        <v>8.14</v>
      </c>
      <c r="D51" s="17">
        <v>9.7721508526520022</v>
      </c>
      <c r="E51" s="17"/>
      <c r="G51" s="17"/>
      <c r="H51" s="17"/>
      <c r="J51" s="1"/>
      <c r="K51" s="1"/>
      <c r="L51" s="3">
        <f>(1/112*2240)*0.545454545454545</f>
        <v>10.909090909090899</v>
      </c>
      <c r="M51" s="3"/>
      <c r="N51" s="3"/>
      <c r="O51" s="3"/>
      <c r="P51" s="3"/>
      <c r="Q51" s="3"/>
      <c r="R51" s="17"/>
      <c r="S51" s="1">
        <f>2240*0.00631842478805388</f>
        <v>14.153271525240692</v>
      </c>
      <c r="T51" s="1"/>
      <c r="V51" s="17"/>
      <c r="W51" s="17"/>
      <c r="X51" s="1"/>
      <c r="Y51" s="1">
        <v>10</v>
      </c>
      <c r="Z51" s="3"/>
      <c r="AA51" s="3"/>
      <c r="AB51" s="17"/>
      <c r="AC51" s="17"/>
      <c r="AD51" s="1"/>
      <c r="AE51" s="1"/>
      <c r="AF51" s="1"/>
      <c r="AG51" s="1"/>
      <c r="AH51" s="1"/>
      <c r="AI51" s="1"/>
      <c r="AJ51" s="1"/>
      <c r="AK51" s="1"/>
      <c r="AL51" s="3"/>
      <c r="AM51" s="1"/>
      <c r="AN51" s="3"/>
      <c r="AO51" s="1"/>
      <c r="AQ51" s="1"/>
      <c r="AR51" s="1">
        <v>13</v>
      </c>
      <c r="AS51" s="1"/>
      <c r="AT51" s="3"/>
      <c r="AU51" s="3"/>
      <c r="AV51" s="3">
        <f>(1/112*2240)*2</f>
        <v>40</v>
      </c>
      <c r="AW51" s="3"/>
      <c r="AX51" s="1">
        <v>23.196855635786346</v>
      </c>
      <c r="AY51" s="3"/>
      <c r="AZ51" s="1"/>
      <c r="BA51" s="17"/>
      <c r="BB51" s="1"/>
      <c r="BC51" s="3"/>
      <c r="BD51" s="3"/>
      <c r="BE51" s="3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3"/>
      <c r="BQ51" s="3"/>
      <c r="BR51" s="1"/>
      <c r="BS51" s="3"/>
      <c r="BT51" s="1"/>
      <c r="BU51" s="3"/>
      <c r="BX51" s="1"/>
      <c r="BY51" s="1"/>
      <c r="BZ51" s="1"/>
      <c r="CA51" s="1"/>
      <c r="CB51" s="1"/>
      <c r="CC51" s="3"/>
      <c r="CD51" s="1"/>
      <c r="CE51" s="3"/>
      <c r="CG51" s="3"/>
      <c r="CH51" s="3"/>
      <c r="CI51" s="1"/>
      <c r="CJ51" s="3"/>
      <c r="CK51" s="3"/>
      <c r="CL51" s="1"/>
      <c r="CM51" s="3"/>
      <c r="CN51" s="1"/>
      <c r="CO51" s="1"/>
      <c r="CP51" s="1"/>
      <c r="CQ51" s="1">
        <f>(1/112*2240)*0.54388841912919</f>
        <v>10.877768382583799</v>
      </c>
      <c r="CR51" s="3">
        <f>(1/112*2240)*0.411599243938472</f>
        <v>8.2319848787694401</v>
      </c>
      <c r="CT51" s="3"/>
      <c r="CU51" s="1"/>
      <c r="CV51" s="3"/>
      <c r="CW51" s="1"/>
      <c r="CX51" s="3"/>
      <c r="CY51" s="3"/>
      <c r="DD51" s="1">
        <v>6.9520878971754509</v>
      </c>
      <c r="DE51" s="1">
        <v>5.7528409090909092</v>
      </c>
    </row>
    <row r="52" spans="1:109" x14ac:dyDescent="0.25">
      <c r="A52" s="8">
        <f t="shared" si="3"/>
        <v>1885</v>
      </c>
      <c r="C52" s="17">
        <v>7.82</v>
      </c>
      <c r="D52" s="17">
        <v>9.3573422499581032</v>
      </c>
      <c r="E52" s="17"/>
      <c r="G52" s="17"/>
      <c r="H52" s="17"/>
      <c r="J52" s="1"/>
      <c r="K52" s="1"/>
      <c r="L52" s="1"/>
      <c r="M52" s="1"/>
      <c r="N52" s="1"/>
      <c r="O52" s="1"/>
      <c r="P52" s="1">
        <v>9.8499170305676849</v>
      </c>
      <c r="Q52" s="1">
        <v>13.018578750246402</v>
      </c>
      <c r="R52" s="17"/>
      <c r="S52" s="1">
        <f>2240*0.00669642857142857</f>
        <v>14.999999999999996</v>
      </c>
      <c r="T52" s="1"/>
      <c r="V52" s="17"/>
      <c r="W52" s="17"/>
      <c r="X52" s="1"/>
      <c r="Y52" s="1">
        <v>10</v>
      </c>
      <c r="Z52" s="1"/>
      <c r="AA52" s="1"/>
      <c r="AB52" s="17"/>
      <c r="AC52" s="17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>
        <f>2240*(AVERAGE(0.00608766233766234,0.00943848561386023))</f>
        <v>17.389285705705277</v>
      </c>
      <c r="AQ52" s="1"/>
      <c r="AR52" s="1">
        <v>11.493670886075948</v>
      </c>
      <c r="AS52" s="1"/>
      <c r="AT52" s="1"/>
      <c r="AU52" s="1"/>
      <c r="AV52" s="1"/>
      <c r="AW52" s="1"/>
      <c r="AX52" s="1">
        <v>20.000154618054751</v>
      </c>
      <c r="AY52" s="3"/>
      <c r="AZ52" s="1"/>
      <c r="BA52" s="17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X52" s="1"/>
      <c r="BY52" s="1"/>
      <c r="BZ52" s="1"/>
      <c r="CA52" s="1"/>
      <c r="CB52" s="1"/>
      <c r="CC52" s="1"/>
      <c r="CD52" s="1"/>
      <c r="CE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>
        <f>(1/112*2240)*0.440223363604039</f>
        <v>8.8044672720807799</v>
      </c>
      <c r="CR52" s="1">
        <f>(1/112*2240)*0.438700428724544</f>
        <v>8.77400857449088</v>
      </c>
      <c r="CT52" s="1"/>
      <c r="CU52" s="1"/>
      <c r="CV52" s="1"/>
      <c r="CW52" s="1"/>
      <c r="CX52" s="1"/>
      <c r="CY52" s="1"/>
      <c r="DD52" s="1">
        <v>6.3596543915900314</v>
      </c>
      <c r="DE52" s="1">
        <v>5.1870265151515147</v>
      </c>
    </row>
    <row r="53" spans="1:109" x14ac:dyDescent="0.25">
      <c r="A53" s="8">
        <f t="shared" si="3"/>
        <v>1886</v>
      </c>
      <c r="C53" s="17">
        <v>7.48</v>
      </c>
      <c r="D53" s="17">
        <v>8.9676127712744922</v>
      </c>
      <c r="E53" s="17"/>
      <c r="G53" s="17"/>
      <c r="H53" s="17"/>
      <c r="J53" s="1"/>
      <c r="K53" s="1"/>
      <c r="L53" s="1"/>
      <c r="M53" s="1"/>
      <c r="N53" s="1"/>
      <c r="O53" s="1"/>
      <c r="P53" s="1">
        <v>9.1886494158030239</v>
      </c>
      <c r="Q53" s="1">
        <v>11.550839591155611</v>
      </c>
      <c r="R53" s="17"/>
      <c r="S53" s="1">
        <f>2240*0.00524553571428571</f>
        <v>11.749999999999991</v>
      </c>
      <c r="T53" s="1"/>
      <c r="V53" s="17"/>
      <c r="W53" s="17"/>
      <c r="X53" s="1"/>
      <c r="Y53" s="1">
        <v>9.25</v>
      </c>
      <c r="Z53" s="1"/>
      <c r="AA53" s="1"/>
      <c r="AB53" s="17"/>
      <c r="AC53" s="17"/>
      <c r="AD53" s="1"/>
      <c r="AE53" s="1"/>
      <c r="AF53" s="17"/>
      <c r="AG53" s="1"/>
      <c r="AH53" s="1"/>
      <c r="AI53" s="1"/>
      <c r="AJ53" s="1"/>
      <c r="AK53" s="1"/>
      <c r="AL53" s="1"/>
      <c r="AM53" s="1"/>
      <c r="AN53" s="1"/>
      <c r="AP53" s="1">
        <f>2240*0.00616883116883117</f>
        <v>13.81818181818182</v>
      </c>
      <c r="AQ53" s="1"/>
      <c r="AR53" s="1">
        <v>13.280106453759149</v>
      </c>
      <c r="AS53" s="1"/>
      <c r="AT53" s="1"/>
      <c r="AU53" s="1"/>
      <c r="AV53" s="1"/>
      <c r="AW53" s="1"/>
      <c r="AX53" s="1">
        <v>18.000000000000004</v>
      </c>
      <c r="AY53" s="3"/>
      <c r="AZ53" s="1"/>
      <c r="BA53" s="17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X53" s="1"/>
      <c r="BY53" s="1"/>
      <c r="BZ53" s="1"/>
      <c r="CA53" s="1"/>
      <c r="CB53" s="1"/>
      <c r="CC53" s="1"/>
      <c r="CD53" s="1"/>
      <c r="CE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>
        <f>(1/112*2240)*0.380459659354297</f>
        <v>7.6091931870859399</v>
      </c>
      <c r="CR53" s="1">
        <f>(1/112*2240)*0.384286331146259</f>
        <v>7.6857266229251797</v>
      </c>
      <c r="CT53" s="1"/>
      <c r="CU53" s="1"/>
      <c r="CV53" s="1"/>
      <c r="CW53" s="1"/>
      <c r="CX53" s="1"/>
      <c r="CY53" s="1"/>
      <c r="DD53" s="1">
        <v>6.0730372779778667</v>
      </c>
      <c r="DE53" s="1">
        <v>5.1175394144144146</v>
      </c>
    </row>
    <row r="54" spans="1:109" x14ac:dyDescent="0.25">
      <c r="A54" s="8">
        <f t="shared" si="3"/>
        <v>1887</v>
      </c>
      <c r="C54" s="17">
        <v>7.47</v>
      </c>
      <c r="D54" s="17">
        <v>8.7418012930277929</v>
      </c>
      <c r="E54" s="17"/>
      <c r="G54" s="17"/>
      <c r="H54" s="17"/>
      <c r="I54" s="1">
        <f>2240*0.00320335258461098</f>
        <v>7.1755097895285953</v>
      </c>
      <c r="J54" s="1"/>
      <c r="K54" s="1"/>
      <c r="L54" s="1"/>
      <c r="M54" s="1"/>
      <c r="N54" s="1"/>
      <c r="O54" s="1"/>
      <c r="P54" s="1">
        <v>9.0157976071784649</v>
      </c>
      <c r="Q54" s="1">
        <v>13.003887297039158</v>
      </c>
      <c r="R54" s="17"/>
      <c r="S54" s="1">
        <f>2240*0.00519480519480519</f>
        <v>11.636363636363624</v>
      </c>
      <c r="T54" s="1"/>
      <c r="U54" s="1"/>
      <c r="V54" s="17">
        <v>14.546115307738233</v>
      </c>
      <c r="W54" s="17"/>
      <c r="X54" s="1"/>
      <c r="Y54" s="1">
        <v>8.25</v>
      </c>
      <c r="Z54" s="1"/>
      <c r="AA54" s="1"/>
      <c r="AB54" s="17"/>
      <c r="AC54" s="17"/>
      <c r="AD54" s="1"/>
      <c r="AE54" s="1"/>
      <c r="AF54" s="17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>
        <v>11.994261119081779</v>
      </c>
      <c r="AS54" s="1"/>
      <c r="AT54" s="1"/>
      <c r="AU54" s="1"/>
      <c r="AV54" s="1"/>
      <c r="AW54" s="1"/>
      <c r="AX54" s="1"/>
      <c r="AY54" s="14"/>
      <c r="AZ54" s="1"/>
      <c r="BA54" s="17">
        <v>22.542271562766867</v>
      </c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X54" s="1"/>
      <c r="BY54" s="1"/>
      <c r="BZ54" s="1"/>
      <c r="CA54" s="1"/>
      <c r="CB54" s="1"/>
      <c r="CC54" s="1"/>
      <c r="CD54" s="1"/>
      <c r="CE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>
        <f>(1/112*2240)*0.356518777596672</f>
        <v>7.1303755519334402</v>
      </c>
      <c r="CR54" s="1">
        <f>(1/112*2240)*0.378463810977376</f>
        <v>7.5692762195475201</v>
      </c>
      <c r="CT54" s="1"/>
      <c r="CU54" s="1"/>
      <c r="CV54" s="1"/>
      <c r="CY54" s="1"/>
      <c r="CZ54" s="1"/>
      <c r="DD54" s="1">
        <v>4.9248577826869866</v>
      </c>
      <c r="DE54" s="1">
        <v>5.1314986861861867</v>
      </c>
    </row>
    <row r="55" spans="1:109" x14ac:dyDescent="0.25">
      <c r="A55" s="8">
        <f t="shared" si="3"/>
        <v>1888</v>
      </c>
      <c r="C55" s="17">
        <v>7.46</v>
      </c>
      <c r="D55" s="17">
        <v>8.6611977300167062</v>
      </c>
      <c r="E55" s="17"/>
      <c r="G55" s="17"/>
      <c r="H55" s="17"/>
      <c r="I55" s="1">
        <f>2240*0.0030989338029515</f>
        <v>6.9416117186113597</v>
      </c>
      <c r="J55" s="1"/>
      <c r="L55" s="1"/>
      <c r="M55" s="1"/>
      <c r="N55" s="1"/>
      <c r="O55" s="1"/>
      <c r="P55" s="1">
        <v>9.2510610176958661</v>
      </c>
      <c r="Q55" s="1">
        <v>12.291377983063894</v>
      </c>
      <c r="R55" s="17"/>
      <c r="S55" s="1">
        <f>2240*0.00909663865546219</f>
        <v>20.376470588235307</v>
      </c>
      <c r="T55" s="1"/>
      <c r="U55" s="1"/>
      <c r="V55" s="17">
        <v>29.014177382129905</v>
      </c>
      <c r="W55" s="17"/>
      <c r="X55" s="1"/>
      <c r="Y55" s="1">
        <v>9.3333333333333339</v>
      </c>
      <c r="Z55" s="1"/>
      <c r="AA55" s="1"/>
      <c r="AB55" s="17"/>
      <c r="AC55" s="17"/>
      <c r="AD55" s="1"/>
      <c r="AE55" s="1"/>
      <c r="AF55" s="17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>
        <v>12.009569377990431</v>
      </c>
      <c r="AS55" s="1"/>
      <c r="AT55" s="1"/>
      <c r="AU55" s="1"/>
      <c r="AV55" s="1"/>
      <c r="AW55" s="1"/>
      <c r="AX55" s="1">
        <v>16</v>
      </c>
      <c r="AY55" s="3"/>
      <c r="AZ55" s="1"/>
      <c r="BA55" s="17">
        <v>22.567357512953368</v>
      </c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3"/>
      <c r="BM55" s="1"/>
      <c r="BN55" s="1"/>
      <c r="BO55" s="1"/>
      <c r="BP55" s="1"/>
      <c r="BQ55" s="1"/>
      <c r="BR55" s="1"/>
      <c r="BS55" s="1"/>
      <c r="BT55" s="1"/>
      <c r="BU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>
        <f>(1/112*2240)*0.345738812718551</f>
        <v>6.9147762543710201</v>
      </c>
      <c r="CR55" s="1">
        <f>(1/112*2240)*0.348588989310854</f>
        <v>6.9717797862170805</v>
      </c>
      <c r="CT55" s="1"/>
      <c r="CU55" s="1"/>
      <c r="CV55" s="1"/>
      <c r="CY55" s="1"/>
      <c r="CZ55" s="1"/>
      <c r="DD55" s="1">
        <v>5.0419363802408634</v>
      </c>
      <c r="DE55" s="1">
        <v>5.3696167758667768</v>
      </c>
    </row>
    <row r="56" spans="1:109" x14ac:dyDescent="0.25">
      <c r="A56" s="8">
        <f t="shared" si="3"/>
        <v>1889</v>
      </c>
      <c r="C56" s="17">
        <v>8.17</v>
      </c>
      <c r="D56" s="17">
        <v>9.3321192957478338</v>
      </c>
      <c r="E56" s="17"/>
      <c r="F56" s="17"/>
      <c r="G56" s="17"/>
      <c r="H56" s="17"/>
      <c r="I56" s="1">
        <f>2240*0.00309204728477224</f>
        <v>6.9261859178898177</v>
      </c>
      <c r="J56" s="1">
        <f>2240*0.00193009034925351</f>
        <v>4.3234023823278624</v>
      </c>
      <c r="L56" s="1"/>
      <c r="M56" s="1"/>
      <c r="N56" s="1"/>
      <c r="O56" s="1"/>
      <c r="P56" s="1">
        <v>9.3508204323321671</v>
      </c>
      <c r="Q56" s="1">
        <v>13.280542000697107</v>
      </c>
      <c r="R56" s="17"/>
      <c r="S56" s="1">
        <f>2240*0.009375</f>
        <v>21</v>
      </c>
      <c r="T56" s="1"/>
      <c r="U56" s="1"/>
      <c r="V56" s="17">
        <v>15.263140484932686</v>
      </c>
      <c r="W56" s="17"/>
      <c r="X56" s="1"/>
      <c r="Y56" s="1">
        <v>8.5</v>
      </c>
      <c r="Z56" s="1"/>
      <c r="AA56" s="1"/>
      <c r="AB56" s="17"/>
      <c r="AC56" s="17"/>
      <c r="AD56" s="1"/>
      <c r="AE56" s="1"/>
      <c r="AF56" s="17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>
        <v>12.871287128712872</v>
      </c>
      <c r="AS56" s="1"/>
      <c r="AT56" s="1"/>
      <c r="AU56" s="1"/>
      <c r="AV56" s="1"/>
      <c r="AW56" s="1"/>
      <c r="AX56" s="1"/>
      <c r="AY56" s="18"/>
      <c r="AZ56" s="1"/>
      <c r="BA56" s="17">
        <v>19.961928934010153</v>
      </c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N56" s="1"/>
      <c r="BO56" s="1"/>
      <c r="BP56" s="1"/>
      <c r="BQ56" s="1"/>
      <c r="BR56" s="1"/>
      <c r="BS56" s="1"/>
      <c r="BT56" s="1"/>
      <c r="BU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>
        <f>(1/112*2240)*0.423448269005971</f>
        <v>8.4689653801194194</v>
      </c>
      <c r="CR56" s="1">
        <f>(1/112*2240)*0.385627275185153</f>
        <v>7.7125455037030601</v>
      </c>
      <c r="CT56" s="1"/>
      <c r="CU56" s="1"/>
      <c r="CV56" s="1"/>
      <c r="CY56" s="1"/>
      <c r="CZ56" s="1"/>
      <c r="DD56" s="1">
        <v>6.1710450252651574</v>
      </c>
      <c r="DE56" s="1">
        <v>5.9939364079803896</v>
      </c>
    </row>
    <row r="57" spans="1:109" x14ac:dyDescent="0.25">
      <c r="A57" s="8">
        <f t="shared" si="3"/>
        <v>1890</v>
      </c>
      <c r="C57" s="17">
        <v>8.56</v>
      </c>
      <c r="D57" s="17">
        <v>9.4521901011252414</v>
      </c>
      <c r="E57" s="17"/>
      <c r="F57" s="17"/>
      <c r="G57" s="17"/>
      <c r="H57" s="17"/>
      <c r="I57" s="1">
        <f>2240*0.00299455425818371</f>
        <v>6.7078015383315108</v>
      </c>
      <c r="J57" s="1">
        <f>2240*0.00224648372695503</f>
        <v>5.0321235483792677</v>
      </c>
      <c r="L57" s="1"/>
      <c r="M57" s="1"/>
      <c r="N57" s="1"/>
      <c r="O57" s="1"/>
      <c r="P57" s="1">
        <v>10.826181264666708</v>
      </c>
      <c r="Q57" s="1">
        <v>9.8430276981852902</v>
      </c>
      <c r="R57" s="17"/>
      <c r="S57" s="1">
        <f>2240*0.00480442176870748</f>
        <v>10.761904761904756</v>
      </c>
      <c r="T57" s="1"/>
      <c r="U57" s="1"/>
      <c r="V57" s="17">
        <v>19.012410879324001</v>
      </c>
      <c r="W57" s="17"/>
      <c r="X57" s="1"/>
      <c r="Y57" s="1">
        <v>8.75</v>
      </c>
      <c r="Z57" s="1"/>
      <c r="AA57" s="1"/>
      <c r="AB57" s="17"/>
      <c r="AC57" s="17"/>
      <c r="AD57" s="1"/>
      <c r="AE57" s="1"/>
      <c r="AF57" s="17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>
        <v>12.79954571266326</v>
      </c>
      <c r="AS57" s="1"/>
      <c r="AT57" s="1"/>
      <c r="AU57" s="1"/>
      <c r="AV57" s="1"/>
      <c r="AW57" s="1"/>
      <c r="AX57" s="1">
        <v>15.999940062784233</v>
      </c>
      <c r="AY57" s="18"/>
      <c r="AZ57" s="1"/>
      <c r="BA57" s="17">
        <v>15.807807807807794</v>
      </c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W57" s="1">
        <f>2240*0.00251308161910984</f>
        <v>5.6293028268060414</v>
      </c>
      <c r="BX57" s="3">
        <f>2240*0.00333333333333333</f>
        <v>7.4666666666666597</v>
      </c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P57" s="1"/>
      <c r="CQ57" s="1">
        <f>(1/112*2240)*0.464547323832952</f>
        <v>9.2909464766590393</v>
      </c>
      <c r="CR57" s="1">
        <f>(1/112*2240)*0.41937828771966</f>
        <v>8.3875657543932007</v>
      </c>
      <c r="CT57" s="1">
        <f>(1/112*2240)*0.298803418803419</f>
        <v>5.9760683760683797</v>
      </c>
      <c r="CU57" s="1"/>
      <c r="CV57" s="1"/>
      <c r="CY57" s="1"/>
      <c r="CZ57" s="1"/>
      <c r="DD57" s="1">
        <v>6.9650139209139095</v>
      </c>
      <c r="DE57" s="1">
        <v>5.9286775411775414</v>
      </c>
    </row>
    <row r="58" spans="1:109" x14ac:dyDescent="0.25">
      <c r="A58" s="8">
        <f t="shared" si="3"/>
        <v>1891</v>
      </c>
      <c r="C58" s="17">
        <v>9.0299999999999994</v>
      </c>
      <c r="D58" s="17">
        <v>9.3965995453857776</v>
      </c>
      <c r="E58" s="17"/>
      <c r="F58" s="17"/>
      <c r="G58" s="17"/>
      <c r="H58" s="17"/>
      <c r="I58" s="1">
        <f>2240*0.00296311406812286</f>
        <v>6.6373755125952068</v>
      </c>
      <c r="J58" s="3"/>
      <c r="L58" s="1"/>
      <c r="M58" s="1"/>
      <c r="N58" s="1"/>
      <c r="O58" s="1"/>
      <c r="P58" s="1">
        <v>9.1605333792154156</v>
      </c>
      <c r="Q58" s="1">
        <v>11.387858032378579</v>
      </c>
      <c r="R58" s="17"/>
      <c r="S58" s="1"/>
      <c r="T58" s="1"/>
      <c r="U58" s="1"/>
      <c r="V58" s="17">
        <v>16.377649325626205</v>
      </c>
      <c r="W58" s="17"/>
      <c r="X58" s="1"/>
      <c r="Y58" s="1">
        <v>8.5</v>
      </c>
      <c r="Z58" s="1"/>
      <c r="AA58" s="1"/>
      <c r="AB58" s="17"/>
      <c r="AC58" s="17"/>
      <c r="AD58" s="1"/>
      <c r="AE58" s="1"/>
      <c r="AF58" s="17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>
        <v>10.782208588957056</v>
      </c>
      <c r="AS58" s="1"/>
      <c r="AT58" s="1"/>
      <c r="AU58" s="1"/>
      <c r="AV58" s="1"/>
      <c r="AW58" s="1"/>
      <c r="AX58" s="1">
        <v>16</v>
      </c>
      <c r="AY58" s="18"/>
      <c r="AZ58" s="1"/>
      <c r="BA58" s="17">
        <v>13.159999999999988</v>
      </c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X58" s="1">
        <f>2240*0.00375</f>
        <v>8.4</v>
      </c>
      <c r="BY58" s="3"/>
      <c r="BZ58" s="3"/>
      <c r="CA58" s="3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N58" s="1"/>
      <c r="CO58" s="1"/>
      <c r="CP58" s="1"/>
      <c r="CQ58" s="1">
        <f>(1/112*2240)*0.43660334859918</f>
        <v>8.732066971983599</v>
      </c>
      <c r="CR58" s="1">
        <f>(1/112*2240)*0.457967677283393</f>
        <v>9.1593535456678605</v>
      </c>
      <c r="CT58" s="1">
        <f>(1/112*2240)*0.3436814048291</f>
        <v>6.8736280965819994</v>
      </c>
      <c r="CU58" s="1">
        <f>(1/112*2240)*0.33112582781457</f>
        <v>6.6225165562913997</v>
      </c>
      <c r="CV58" s="1"/>
      <c r="CW58" s="1"/>
      <c r="CY58" s="1"/>
      <c r="CZ58" s="1"/>
      <c r="DD58" s="1">
        <v>6.4266138337112517</v>
      </c>
      <c r="DE58" s="1">
        <v>6.9333673159946301</v>
      </c>
    </row>
    <row r="59" spans="1:109" x14ac:dyDescent="0.25">
      <c r="A59" s="8">
        <f t="shared" si="3"/>
        <v>1892</v>
      </c>
      <c r="C59" s="17">
        <v>8.89</v>
      </c>
      <c r="D59" s="17">
        <v>9.4978037904675379</v>
      </c>
      <c r="E59" s="17"/>
      <c r="F59" s="17"/>
      <c r="G59" s="17"/>
      <c r="H59" s="17"/>
      <c r="I59" s="1">
        <f>2240*0.00297619047619048</f>
        <v>6.666666666666675</v>
      </c>
      <c r="J59" s="3"/>
      <c r="L59" s="1"/>
      <c r="M59" s="1"/>
      <c r="N59" s="1"/>
      <c r="O59" s="1"/>
      <c r="P59" s="1">
        <v>9.5057302886686781</v>
      </c>
      <c r="Q59" s="1">
        <v>11.546980506014101</v>
      </c>
      <c r="R59" s="17"/>
      <c r="S59" s="1">
        <f>2240*0.00535714285714286</f>
        <v>12.000000000000005</v>
      </c>
      <c r="T59" s="1"/>
      <c r="U59" s="1"/>
      <c r="V59" s="17">
        <v>17.066666666666666</v>
      </c>
      <c r="W59" s="17"/>
      <c r="X59" s="1"/>
      <c r="Y59" s="1">
        <v>9</v>
      </c>
      <c r="Z59" s="1"/>
      <c r="AA59" s="1"/>
      <c r="AB59" s="17"/>
      <c r="AC59" s="17"/>
      <c r="AD59" s="1"/>
      <c r="AE59" s="1"/>
      <c r="AF59" s="17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>
        <v>12</v>
      </c>
      <c r="AS59" s="1"/>
      <c r="AT59" s="1"/>
      <c r="AU59" s="1"/>
      <c r="AV59" s="1"/>
      <c r="AW59" s="1"/>
      <c r="AX59" s="1">
        <v>13.333333333333332</v>
      </c>
      <c r="AY59" s="18"/>
      <c r="AZ59" s="1"/>
      <c r="BA59" s="17">
        <v>10.49374999999999</v>
      </c>
      <c r="BB59" s="1"/>
      <c r="BC59" s="1"/>
      <c r="BD59" s="1"/>
      <c r="BE59" s="1"/>
      <c r="BF59" s="3">
        <f>2240*0.00566304860783388</f>
        <v>12.685228881547891</v>
      </c>
      <c r="BG59" s="3"/>
      <c r="BH59" s="3"/>
      <c r="BI59" s="3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X59" s="1">
        <f>2240*0.00465277777777778</f>
        <v>10.422222222222228</v>
      </c>
      <c r="BY59" s="3"/>
      <c r="BZ59" s="3"/>
      <c r="CA59" s="3"/>
      <c r="CB59" s="1"/>
      <c r="CC59" s="1"/>
      <c r="CD59" s="1"/>
      <c r="CE59" s="3"/>
      <c r="CG59" s="1"/>
      <c r="CH59" s="1"/>
      <c r="CI59" s="1"/>
      <c r="CJ59" s="1"/>
      <c r="CK59" s="1"/>
      <c r="CL59" s="1"/>
      <c r="CN59" s="1"/>
      <c r="CO59" s="1"/>
      <c r="CP59" s="1"/>
      <c r="CQ59" s="1">
        <f>(1/112*2240)*0.429152158721883</f>
        <v>8.5830431744376607</v>
      </c>
      <c r="CR59" s="1">
        <f>(1/112*2240)*0.448863373019321</f>
        <v>8.97726746038642</v>
      </c>
      <c r="CT59" s="1">
        <f>(1/112*2240)*0.5</f>
        <v>10</v>
      </c>
      <c r="CU59" s="1">
        <f>(1/112*2240)*0.333333333333333</f>
        <v>6.6666666666666599</v>
      </c>
      <c r="CV59" s="1"/>
      <c r="CW59" s="1"/>
      <c r="CY59" s="1"/>
      <c r="CZ59" s="1"/>
      <c r="DD59" s="1">
        <v>6.6454312087835019</v>
      </c>
      <c r="DE59" s="1">
        <v>6.8190491627806438</v>
      </c>
    </row>
    <row r="60" spans="1:109" x14ac:dyDescent="0.25">
      <c r="A60" s="8">
        <f t="shared" si="3"/>
        <v>1893</v>
      </c>
      <c r="C60" s="17">
        <v>7.85</v>
      </c>
      <c r="D60" s="17">
        <v>8.3867810398369187</v>
      </c>
      <c r="E60" s="17"/>
      <c r="F60" s="17"/>
      <c r="G60" s="17"/>
      <c r="H60" s="17"/>
      <c r="I60" s="1">
        <f>2240*0.00297619047619048</f>
        <v>6.666666666666675</v>
      </c>
      <c r="J60" s="3"/>
      <c r="L60" s="1"/>
      <c r="M60" s="1"/>
      <c r="N60" s="1"/>
      <c r="O60" s="1"/>
      <c r="P60" s="1">
        <v>7.3823674726807713</v>
      </c>
      <c r="Q60" s="1">
        <v>11.719699831365936</v>
      </c>
      <c r="R60" s="17"/>
      <c r="S60" s="1">
        <f>2240*0.00535714285714286</f>
        <v>12.000000000000005</v>
      </c>
      <c r="T60" s="1"/>
      <c r="U60" s="1"/>
      <c r="V60" s="17">
        <v>19.106759016001909</v>
      </c>
      <c r="W60" s="17"/>
      <c r="X60" s="1"/>
      <c r="Y60" s="1">
        <v>9.5</v>
      </c>
      <c r="Z60" s="1"/>
      <c r="AA60" s="1"/>
      <c r="AB60" s="17"/>
      <c r="AC60" s="17"/>
      <c r="AD60" s="1"/>
      <c r="AE60" s="1"/>
      <c r="AF60" s="17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>
        <v>12.006717044500419</v>
      </c>
      <c r="AS60" s="1"/>
      <c r="AT60" s="1"/>
      <c r="AU60" s="1"/>
      <c r="AV60" s="1"/>
      <c r="AW60" s="1"/>
      <c r="AX60" s="1"/>
      <c r="AY60" s="18"/>
      <c r="AZ60" s="1"/>
      <c r="BA60" s="17">
        <v>10.446985446985437</v>
      </c>
      <c r="BB60" s="1"/>
      <c r="BC60" s="1"/>
      <c r="BD60" s="1"/>
      <c r="BE60" s="1"/>
      <c r="BF60" s="3">
        <f>2240*0.00654664484451718</f>
        <v>14.664484451718483</v>
      </c>
      <c r="BG60" s="3"/>
      <c r="BH60" s="3"/>
      <c r="BI60" s="3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3"/>
      <c r="BW60" s="1">
        <f>2240*0.00223704723873215</f>
        <v>5.0109858147600166</v>
      </c>
      <c r="BX60" s="1">
        <f>2240*0.00416666666666667</f>
        <v>9.333333333333341</v>
      </c>
      <c r="BY60" s="3"/>
      <c r="BZ60" s="3"/>
      <c r="CA60" s="3"/>
      <c r="CB60" s="1"/>
      <c r="CC60" s="1"/>
      <c r="CD60" s="1"/>
      <c r="CE60" s="1"/>
      <c r="CG60" s="1"/>
      <c r="CH60" s="1"/>
      <c r="CI60" s="1"/>
      <c r="CJ60" s="1"/>
      <c r="CK60" s="1"/>
      <c r="CL60" s="1"/>
      <c r="CN60" s="1"/>
      <c r="CO60" s="1"/>
      <c r="CP60" s="1"/>
      <c r="CQ60" s="1">
        <f>(1/112*2240)*0.388686195567504</f>
        <v>7.7737239113500802</v>
      </c>
      <c r="CR60" s="1">
        <f>(1/112*2240)*0.405388555758331</f>
        <v>8.1077711151666207</v>
      </c>
      <c r="CT60" s="1">
        <f>(1/112*2240)*0.333333333333333</f>
        <v>6.6666666666666599</v>
      </c>
      <c r="CU60" s="1"/>
      <c r="CV60" s="1"/>
      <c r="CW60" s="1"/>
      <c r="CY60" s="1"/>
      <c r="CZ60" s="1"/>
      <c r="DD60" s="1">
        <v>6.5841767413581254</v>
      </c>
      <c r="DE60" s="1">
        <v>5.1374176596264114</v>
      </c>
    </row>
    <row r="61" spans="1:109" x14ac:dyDescent="0.25">
      <c r="A61" s="8">
        <f t="shared" si="3"/>
        <v>1894</v>
      </c>
      <c r="C61" s="17">
        <v>7.62</v>
      </c>
      <c r="D61" s="17">
        <v>7.809083358995176</v>
      </c>
      <c r="E61" s="17"/>
      <c r="F61" s="17"/>
      <c r="G61" s="17"/>
      <c r="H61" s="17"/>
      <c r="I61" s="1">
        <f>2240*0.00297619047619048</f>
        <v>6.666666666666675</v>
      </c>
      <c r="J61" s="3"/>
      <c r="L61" s="1"/>
      <c r="M61" s="1"/>
      <c r="N61" s="1"/>
      <c r="O61" s="1"/>
      <c r="P61" s="1">
        <v>6.3410779205041203</v>
      </c>
      <c r="Q61" s="1">
        <v>10.618419333768779</v>
      </c>
      <c r="R61" s="17"/>
      <c r="S61" s="1">
        <f>2240*0.0052827380952381</f>
        <v>11.833333333333345</v>
      </c>
      <c r="T61" s="1"/>
      <c r="U61" s="1"/>
      <c r="V61" s="17">
        <v>16.279069767441861</v>
      </c>
      <c r="W61" s="17"/>
      <c r="X61" s="1"/>
      <c r="Y61" s="1">
        <v>7.25</v>
      </c>
      <c r="Z61" s="1"/>
      <c r="AA61" s="1"/>
      <c r="AB61" s="17"/>
      <c r="AC61" s="17"/>
      <c r="AD61" s="1"/>
      <c r="AE61" s="1"/>
      <c r="AF61" s="17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>
        <v>11.994996873045654</v>
      </c>
      <c r="AS61" s="1"/>
      <c r="AT61" s="1"/>
      <c r="AU61" s="1"/>
      <c r="AV61" s="3"/>
      <c r="AW61" s="1"/>
      <c r="AX61" s="1">
        <v>15.999858639761101</v>
      </c>
      <c r="AY61" s="18"/>
      <c r="AZ61" s="1"/>
      <c r="BA61" s="17">
        <v>10.411371237458184</v>
      </c>
      <c r="BB61" s="1"/>
      <c r="BC61" s="1"/>
      <c r="BD61" s="1"/>
      <c r="BE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>
        <f>2240*0.00178358569502668</f>
        <v>3.995231956859763</v>
      </c>
      <c r="BX61" s="1"/>
      <c r="BY61" s="1"/>
      <c r="BZ61" s="1"/>
      <c r="CA61" s="1"/>
      <c r="CB61" s="1"/>
      <c r="CC61" s="1"/>
      <c r="CD61" s="1"/>
      <c r="CE61" s="1"/>
      <c r="CG61" s="1"/>
      <c r="CH61" s="1"/>
      <c r="CI61" s="1"/>
      <c r="CJ61" s="1"/>
      <c r="CK61" s="1"/>
      <c r="CL61" s="1"/>
      <c r="CN61" s="1"/>
      <c r="CO61" s="1"/>
      <c r="CP61" s="1"/>
      <c r="CQ61" s="1">
        <f>(1/112*2240)*0.304996799875483</f>
        <v>6.0999359975096601</v>
      </c>
      <c r="CR61" s="1">
        <f>(1/112*2240)*0.365978916215251</f>
        <v>7.3195783243050201</v>
      </c>
      <c r="CT61" s="1">
        <f>(1/112*2240)*0.266518188567186</f>
        <v>5.3303637713437197</v>
      </c>
      <c r="CU61" s="1"/>
      <c r="CV61" s="1"/>
      <c r="CW61" s="1"/>
      <c r="CY61" s="1"/>
      <c r="CZ61" s="1"/>
      <c r="DD61" s="1">
        <v>5.3231143495794386</v>
      </c>
      <c r="DE61" s="1">
        <v>4.4127064564333418</v>
      </c>
    </row>
    <row r="62" spans="1:109" x14ac:dyDescent="0.25">
      <c r="A62" s="8">
        <f t="shared" si="3"/>
        <v>1895</v>
      </c>
      <c r="C62" s="17">
        <v>7.3</v>
      </c>
      <c r="D62" s="17">
        <v>7.2604343093216919</v>
      </c>
      <c r="E62" s="17"/>
      <c r="F62" s="17"/>
      <c r="G62" s="17"/>
      <c r="H62" s="17"/>
      <c r="I62" s="1">
        <f>2240*0.00297619047619048</f>
        <v>6.666666666666675</v>
      </c>
      <c r="J62" s="3"/>
      <c r="L62" s="1"/>
      <c r="M62" s="1"/>
      <c r="N62" s="1"/>
      <c r="O62" s="1"/>
      <c r="P62" s="1">
        <v>6.1156184958091915</v>
      </c>
      <c r="Q62" s="1">
        <v>9.7869037695656189</v>
      </c>
      <c r="R62" s="17"/>
      <c r="S62" s="1">
        <f>2240*0.00446428571428571</f>
        <v>9.9999999999999893</v>
      </c>
      <c r="T62" s="1"/>
      <c r="U62" s="1"/>
      <c r="V62" s="17"/>
      <c r="W62" s="17"/>
      <c r="X62" s="1"/>
      <c r="Y62" s="1">
        <v>10.120481927710843</v>
      </c>
      <c r="Z62" s="1"/>
      <c r="AA62" s="1"/>
      <c r="AB62" s="17"/>
      <c r="AC62" s="17"/>
      <c r="AD62" s="1"/>
      <c r="AE62" s="1"/>
      <c r="AF62" s="17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>
        <v>12.004479283314671</v>
      </c>
      <c r="AS62" s="1"/>
      <c r="AT62" s="1"/>
      <c r="AU62" s="1"/>
      <c r="AV62" s="3"/>
      <c r="AW62" s="1"/>
      <c r="AX62" s="1"/>
      <c r="AY62" s="18"/>
      <c r="AZ62" s="1"/>
      <c r="BA62" s="17">
        <v>10.404896421845566</v>
      </c>
      <c r="BB62" s="1"/>
      <c r="BC62" s="1"/>
      <c r="BD62" s="1"/>
      <c r="BE62" s="1"/>
      <c r="BF62" s="3">
        <f>2240*0.00615384615384615</f>
        <v>13.784615384615376</v>
      </c>
      <c r="BG62" s="3"/>
      <c r="BH62" s="3"/>
      <c r="BI62" s="3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>
        <f>2240*0.0018500912466005</f>
        <v>4.1442043923851202</v>
      </c>
      <c r="BX62" s="1"/>
      <c r="BY62" s="1"/>
      <c r="BZ62" s="1"/>
      <c r="CA62" s="1"/>
      <c r="CB62" s="1"/>
      <c r="CC62" s="1"/>
      <c r="CD62" s="1"/>
      <c r="CE62" s="1"/>
      <c r="CG62" s="1"/>
      <c r="CH62" s="1"/>
      <c r="CI62" s="1"/>
      <c r="CJ62" s="1"/>
      <c r="CK62" s="1"/>
      <c r="CL62" s="1"/>
      <c r="CN62" s="1"/>
      <c r="CO62" s="1"/>
      <c r="CP62" s="1"/>
      <c r="CQ62" s="1">
        <f>(1/112*2240)*0.314219165314482</f>
        <v>6.2843833062896408</v>
      </c>
      <c r="CR62" s="1"/>
      <c r="CT62" s="1">
        <f>(1/112*2240)*0.252331606217617</f>
        <v>5.0466321243523407</v>
      </c>
      <c r="CU62" s="1"/>
      <c r="CV62" s="1"/>
      <c r="CW62" s="1"/>
      <c r="CY62" s="1"/>
      <c r="CZ62" s="1"/>
      <c r="DD62" s="1">
        <v>4.0855123070908261</v>
      </c>
      <c r="DE62" s="1">
        <v>4.3406761253325055</v>
      </c>
    </row>
    <row r="63" spans="1:109" x14ac:dyDescent="0.25">
      <c r="A63" s="8">
        <f t="shared" si="3"/>
        <v>1896</v>
      </c>
      <c r="C63" s="17">
        <v>7.45</v>
      </c>
      <c r="D63" s="17">
        <v>7.6481463236529912</v>
      </c>
      <c r="E63" s="17"/>
      <c r="F63" s="17"/>
      <c r="G63" s="17"/>
      <c r="H63" s="17"/>
      <c r="I63" s="1">
        <f>2240*0.00297592003634711</f>
        <v>6.6660608814175264</v>
      </c>
      <c r="J63" s="3"/>
      <c r="L63" s="1"/>
      <c r="M63" s="1"/>
      <c r="N63" s="1"/>
      <c r="O63" s="1"/>
      <c r="P63" s="1">
        <v>5.9190115123214202</v>
      </c>
      <c r="Q63" s="1">
        <v>9.5970060658578848</v>
      </c>
      <c r="R63" s="17"/>
      <c r="S63" s="1">
        <f>2240*0.00446428571428571</f>
        <v>9.9999999999999893</v>
      </c>
      <c r="T63" s="1"/>
      <c r="U63" s="1"/>
      <c r="V63" s="17"/>
      <c r="W63" s="17"/>
      <c r="X63" s="1"/>
      <c r="Y63" s="1">
        <v>9</v>
      </c>
      <c r="Z63" s="1"/>
      <c r="AA63" s="1"/>
      <c r="AB63" s="17"/>
      <c r="AC63" s="17"/>
      <c r="AD63" s="1"/>
      <c r="AE63" s="1"/>
      <c r="AF63" s="17"/>
      <c r="AG63" s="1"/>
      <c r="AH63" s="1"/>
      <c r="AI63" s="1"/>
      <c r="AJ63" s="1"/>
      <c r="AK63" s="1"/>
      <c r="AL63" s="1"/>
      <c r="AM63" s="1"/>
      <c r="AN63" s="1"/>
      <c r="AP63" s="1"/>
      <c r="AQ63" s="1"/>
      <c r="AR63" s="1">
        <v>12.005885237861698</v>
      </c>
      <c r="AS63" s="1"/>
      <c r="AT63" s="1"/>
      <c r="AU63" s="1"/>
      <c r="AV63" s="3"/>
      <c r="AW63" s="1"/>
      <c r="AX63" s="1"/>
      <c r="AY63" s="18"/>
      <c r="AZ63" s="1"/>
      <c r="BA63" s="17">
        <v>10.446153846153836</v>
      </c>
      <c r="BB63" s="1"/>
      <c r="BC63" s="1"/>
      <c r="BD63" s="1"/>
      <c r="BF63" s="3">
        <f>2240*0.00533130236100533</f>
        <v>11.942117288651939</v>
      </c>
      <c r="BG63" s="3"/>
      <c r="BH63" s="3"/>
      <c r="BI63" s="3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G63" s="1"/>
      <c r="CH63" s="1"/>
      <c r="CI63" s="1"/>
      <c r="CJ63" s="1"/>
      <c r="CK63" s="1"/>
      <c r="CL63" s="1"/>
      <c r="CN63" s="1">
        <v>8.8595102040816336</v>
      </c>
      <c r="CO63" s="1"/>
      <c r="CP63" s="1"/>
      <c r="CQ63" s="1">
        <f>(1/112*2240)*0.32448412345379</f>
        <v>6.4896824690758006</v>
      </c>
      <c r="CR63" s="1"/>
      <c r="CT63" s="1">
        <f>(1/112*2240)*0.627430591660601</f>
        <v>12.54861183321202</v>
      </c>
      <c r="CU63" s="1"/>
      <c r="CV63" s="1"/>
      <c r="CW63" s="1">
        <f>(1/112*2240)*0.392158333333333</f>
        <v>7.8431666666666597</v>
      </c>
      <c r="CX63" s="1">
        <f>(1/112*2240)*0.349423785196626</f>
        <v>6.9884757039325196</v>
      </c>
      <c r="CY63" s="1"/>
      <c r="CZ63" s="1"/>
      <c r="DD63" s="1">
        <v>4.9356283010120263</v>
      </c>
      <c r="DE63" s="1">
        <v>5.172766516513061</v>
      </c>
    </row>
    <row r="64" spans="1:109" x14ac:dyDescent="0.25">
      <c r="A64" s="8">
        <f t="shared" si="3"/>
        <v>1897</v>
      </c>
      <c r="C64" s="17">
        <v>8.17</v>
      </c>
      <c r="D64" s="17">
        <v>8.9566427212584117</v>
      </c>
      <c r="E64" s="17"/>
      <c r="F64" s="17">
        <f>2240*0.00517504088003568</f>
        <v>11.592091571279925</v>
      </c>
      <c r="G64" s="17"/>
      <c r="H64" s="17"/>
      <c r="I64" s="1">
        <f>2240*0.00446398441944099</f>
        <v>9.999325099547816</v>
      </c>
      <c r="J64" s="3"/>
      <c r="L64" s="1"/>
      <c r="M64" s="1"/>
      <c r="N64" s="1"/>
      <c r="O64" s="1"/>
      <c r="P64" s="1">
        <v>7.1895670826833067</v>
      </c>
      <c r="Q64" s="1">
        <v>9.5046772684752092</v>
      </c>
      <c r="R64" s="17"/>
      <c r="S64" s="1">
        <f>2240*0.00446428571428571</f>
        <v>9.9999999999999893</v>
      </c>
      <c r="T64" s="1"/>
      <c r="U64" s="1"/>
      <c r="V64" s="17"/>
      <c r="W64" s="17"/>
      <c r="X64" s="1"/>
      <c r="Y64" s="1">
        <v>9</v>
      </c>
      <c r="Z64" s="1"/>
      <c r="AA64" s="1"/>
      <c r="AB64" s="17"/>
      <c r="AC64" s="17"/>
      <c r="AD64" s="1"/>
      <c r="AE64" s="1"/>
      <c r="AF64" s="17"/>
      <c r="AG64" s="1"/>
      <c r="AH64" s="1"/>
      <c r="AI64" s="1"/>
      <c r="AJ64" s="1"/>
      <c r="AK64" s="1"/>
      <c r="AL64" s="1"/>
      <c r="AM64" s="1"/>
      <c r="AN64" s="1"/>
      <c r="AO64" s="1">
        <v>15</v>
      </c>
      <c r="AP64" s="1"/>
      <c r="AQ64" s="1"/>
      <c r="AR64" s="1">
        <v>13.99390243902439</v>
      </c>
      <c r="AS64" s="1"/>
      <c r="AT64" s="1"/>
      <c r="AU64" s="1"/>
      <c r="AV64" s="3"/>
      <c r="AW64" s="1"/>
      <c r="AX64" s="1"/>
      <c r="AY64" s="18"/>
      <c r="AZ64" s="1"/>
      <c r="BA64" s="17">
        <v>10.475330926594456</v>
      </c>
      <c r="BB64" s="1"/>
      <c r="BC64" s="1"/>
      <c r="BD64" s="1"/>
      <c r="BG64" s="1"/>
      <c r="BH64" s="1"/>
      <c r="BI64" s="1"/>
      <c r="BJ64" s="1"/>
      <c r="BK64" s="1"/>
      <c r="BL64" s="1"/>
      <c r="BM64" s="1"/>
      <c r="BO64" s="1"/>
      <c r="BP64" s="1"/>
      <c r="BQ64" s="1"/>
      <c r="BR64" s="1"/>
      <c r="BS64" s="1"/>
      <c r="BT64" s="1"/>
      <c r="BU64" s="1"/>
      <c r="BV64" s="1"/>
      <c r="BW64" s="1"/>
      <c r="BX64" s="1">
        <f>2240*0.00471380471380471</f>
        <v>10.55892255892255</v>
      </c>
      <c r="BY64" s="3"/>
      <c r="BZ64" s="3"/>
      <c r="CA64" s="3"/>
      <c r="CB64" s="1"/>
      <c r="CC64" s="1"/>
      <c r="CD64" s="1"/>
      <c r="CE64" s="1"/>
      <c r="CG64" s="1"/>
      <c r="CH64" s="1"/>
      <c r="CI64" s="1"/>
      <c r="CJ64" s="1"/>
      <c r="CK64" s="1"/>
      <c r="CL64" s="1"/>
      <c r="CN64" s="1">
        <v>11.623164179104478</v>
      </c>
      <c r="CO64" s="1"/>
      <c r="CP64" s="1"/>
      <c r="CQ64" s="1">
        <f>(1/112*2240)*0.424418412310293</f>
        <v>8.4883682462058587</v>
      </c>
      <c r="CR64" s="1"/>
      <c r="CT64" s="1">
        <f>(1/112*2240)*0.503187613843352</f>
        <v>10.063752276867039</v>
      </c>
      <c r="CU64" s="1"/>
      <c r="CV64" s="1"/>
      <c r="CW64" s="1">
        <f>(1/112*2240)*0.541666666666667</f>
        <v>10.833333333333339</v>
      </c>
      <c r="CX64" s="1">
        <f>(1/112*2240)*0.541673202614379</f>
        <v>10.83346405228758</v>
      </c>
      <c r="CY64" s="1"/>
      <c r="CZ64" s="1"/>
      <c r="DD64" s="1">
        <v>6.9109219969437339</v>
      </c>
      <c r="DE64" s="1">
        <v>5.8983334494751603</v>
      </c>
    </row>
    <row r="65" spans="1:109" x14ac:dyDescent="0.25">
      <c r="A65" s="8">
        <f t="shared" si="3"/>
        <v>1898</v>
      </c>
      <c r="C65" s="17">
        <v>8.82</v>
      </c>
      <c r="D65" s="17">
        <v>9.4003178271388634</v>
      </c>
      <c r="E65" s="17"/>
      <c r="F65" s="17"/>
      <c r="G65" s="17"/>
      <c r="H65" s="17"/>
      <c r="I65" s="1">
        <f>2240*0.00446428571428571</f>
        <v>9.9999999999999893</v>
      </c>
      <c r="J65" s="1">
        <f>2240*0.0017497947454844</f>
        <v>3.9195402298850559</v>
      </c>
      <c r="L65" s="1"/>
      <c r="M65" s="1"/>
      <c r="N65" s="1"/>
      <c r="O65" s="1"/>
      <c r="P65" s="1">
        <v>7.2772048497331712</v>
      </c>
      <c r="Q65" s="1">
        <v>11.295719844357977</v>
      </c>
      <c r="R65" s="17"/>
      <c r="S65" s="1">
        <f>2240*0.00689052795031056</f>
        <v>15.434782608695654</v>
      </c>
      <c r="T65" s="1"/>
      <c r="U65" s="1"/>
      <c r="V65" s="17">
        <v>16</v>
      </c>
      <c r="W65" s="17"/>
      <c r="X65" s="1"/>
      <c r="Y65" s="1">
        <v>9.25</v>
      </c>
      <c r="Z65" s="1"/>
      <c r="AA65" s="1"/>
      <c r="AB65" s="17"/>
      <c r="AC65" s="17"/>
      <c r="AD65" s="1"/>
      <c r="AE65" s="1"/>
      <c r="AF65" s="17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>
        <v>13.969335604770016</v>
      </c>
      <c r="AS65" s="1"/>
      <c r="AT65" s="1"/>
      <c r="AU65" s="1"/>
      <c r="AV65" s="3"/>
      <c r="AW65" s="1"/>
      <c r="AX65" s="1"/>
      <c r="AY65" s="18"/>
      <c r="AZ65" s="1"/>
      <c r="BA65" s="17">
        <v>10.459183673469377</v>
      </c>
      <c r="BB65" s="1"/>
      <c r="BC65" s="1"/>
      <c r="BD65" s="1"/>
      <c r="BE65" s="1"/>
      <c r="BF65" s="3">
        <f>2240*0.00732600732600733</f>
        <v>16.410256410256419</v>
      </c>
      <c r="BG65" s="3"/>
      <c r="BH65" s="3"/>
      <c r="BI65" s="3"/>
      <c r="BJ65" s="1"/>
      <c r="BK65" s="1"/>
      <c r="BL65" s="1"/>
      <c r="BM65" s="1"/>
      <c r="BO65" s="1"/>
      <c r="BP65" s="1"/>
      <c r="BR65" s="1"/>
      <c r="BS65" s="1"/>
      <c r="BT65" s="1"/>
      <c r="BU65" s="1"/>
      <c r="BV65" s="1"/>
      <c r="BW65" s="3"/>
      <c r="BX65" s="1"/>
      <c r="BY65" s="1"/>
      <c r="BZ65" s="1"/>
      <c r="CA65" s="1"/>
      <c r="CB65" s="1"/>
      <c r="CC65" s="1"/>
      <c r="CD65" s="1"/>
      <c r="CE65" s="1"/>
      <c r="CG65" s="1"/>
      <c r="CH65" s="1"/>
      <c r="CI65" s="1"/>
      <c r="CJ65" s="1"/>
      <c r="CK65" s="1"/>
      <c r="CL65" s="1"/>
      <c r="CN65" s="1">
        <v>8.7482947368421051</v>
      </c>
      <c r="CO65" s="1"/>
      <c r="CP65" s="1"/>
      <c r="CQ65" s="1">
        <f>(1/112*2240)*0.410646467910837</f>
        <v>8.2129293582167389</v>
      </c>
      <c r="CR65" s="1"/>
      <c r="CT65" s="1">
        <f>(1/112*2240)*0.3675474506885</f>
        <v>7.3509490137699993</v>
      </c>
      <c r="CU65" s="1"/>
      <c r="CV65" s="1"/>
      <c r="CW65" s="1">
        <f>(1/112*2240)*0.375</f>
        <v>7.5</v>
      </c>
      <c r="CX65" s="1">
        <f>(1/112*2240)*0.375</f>
        <v>7.5</v>
      </c>
      <c r="CY65" s="1"/>
      <c r="CZ65" s="1"/>
      <c r="DD65" s="1">
        <v>5.7133133311422934</v>
      </c>
      <c r="DE65" s="1">
        <v>5.3438995636252002</v>
      </c>
    </row>
    <row r="66" spans="1:109" x14ac:dyDescent="0.25">
      <c r="A66" s="8">
        <f t="shared" si="3"/>
        <v>1899</v>
      </c>
      <c r="C66" s="17">
        <v>8.7100000000000009</v>
      </c>
      <c r="D66" s="17">
        <v>8.9073878527984593</v>
      </c>
      <c r="E66" s="17"/>
      <c r="F66" s="17"/>
      <c r="G66" s="17"/>
      <c r="H66" s="17"/>
      <c r="I66" s="1">
        <f>2240*0.0038689576223595</f>
        <v>8.6664650740852807</v>
      </c>
      <c r="J66" s="1">
        <f>2240*0.00163686926800884</f>
        <v>3.6665871603398017</v>
      </c>
      <c r="L66" s="1"/>
      <c r="M66" s="1"/>
      <c r="N66" s="1"/>
      <c r="O66" s="1"/>
      <c r="P66" s="1">
        <v>7.8532104182601339</v>
      </c>
      <c r="Q66" s="1">
        <v>11.542275235313209</v>
      </c>
      <c r="R66" s="17"/>
      <c r="S66" s="1">
        <f>2240*0.00483630952380952</f>
        <v>10.833333333333323</v>
      </c>
      <c r="T66" s="1"/>
      <c r="U66" s="1"/>
      <c r="V66" s="17"/>
      <c r="W66" s="17"/>
      <c r="X66" s="1"/>
      <c r="Y66" s="1">
        <v>8.5</v>
      </c>
      <c r="Z66" s="1"/>
      <c r="AA66" s="1"/>
      <c r="AB66" s="17"/>
      <c r="AC66" s="17"/>
      <c r="AD66" s="1"/>
      <c r="AE66" s="1"/>
      <c r="AF66" s="17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>
        <v>13.965822038892162</v>
      </c>
      <c r="AS66" s="1"/>
      <c r="AT66" s="1"/>
      <c r="AU66" s="1"/>
      <c r="AV66" s="3"/>
      <c r="AW66" s="1"/>
      <c r="AX66" s="1"/>
      <c r="AY66" s="18"/>
      <c r="AZ66" s="1"/>
      <c r="BA66" s="17">
        <v>10.633898305084735</v>
      </c>
      <c r="BB66" s="1"/>
      <c r="BC66" s="1"/>
      <c r="BD66" s="1"/>
      <c r="BF66" s="1"/>
      <c r="BG66" s="1"/>
      <c r="BH66" s="1"/>
      <c r="BI66" s="1"/>
      <c r="BJ66" s="1"/>
      <c r="BK66" s="1"/>
      <c r="BL66" s="1"/>
      <c r="BM66" s="1"/>
      <c r="BO66" s="1"/>
      <c r="BP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G66" s="1"/>
      <c r="CH66" s="1"/>
      <c r="CI66" s="1"/>
      <c r="CJ66" s="1"/>
      <c r="CK66" s="1"/>
      <c r="CL66" s="1"/>
      <c r="CN66" s="1"/>
      <c r="CO66" s="1"/>
      <c r="CP66" s="1"/>
      <c r="CQ66" s="1">
        <f>(1/112*2240)*0.41826867613192</f>
        <v>8.3653735226384001</v>
      </c>
      <c r="CR66" s="1"/>
      <c r="CT66" s="1">
        <f>(1/112*2240)*0.386975681410152</f>
        <v>7.7395136282030395</v>
      </c>
      <c r="CU66" s="1"/>
      <c r="CV66" s="1"/>
      <c r="CW66" s="1">
        <f>(1/112*2240)*0.4</f>
        <v>8</v>
      </c>
      <c r="CX66" s="1">
        <f>(1/112*2240)*0.4</f>
        <v>8</v>
      </c>
      <c r="CY66" s="1"/>
      <c r="CZ66" s="1"/>
      <c r="DD66" s="1">
        <v>5.0584176867490225</v>
      </c>
      <c r="DE66" s="1">
        <v>5.56998588903443</v>
      </c>
    </row>
    <row r="67" spans="1:109" x14ac:dyDescent="0.25">
      <c r="A67" s="8">
        <f t="shared" si="3"/>
        <v>1900</v>
      </c>
      <c r="C67" s="17"/>
      <c r="D67" s="17"/>
      <c r="E67" s="17"/>
      <c r="F67" s="17"/>
      <c r="G67" s="17"/>
      <c r="H67" s="17"/>
      <c r="I67" s="1">
        <f>2240*0.00386913091573041</f>
        <v>8.6668532512361178</v>
      </c>
      <c r="J67" s="1">
        <f>2240*0.00163683581223532</f>
        <v>3.6665122194071165</v>
      </c>
      <c r="L67" s="1"/>
      <c r="M67" s="1"/>
      <c r="N67" s="1"/>
      <c r="O67" s="1"/>
      <c r="P67" s="1">
        <v>8.0524861060870148</v>
      </c>
      <c r="Q67" s="1">
        <v>11.504891857506362</v>
      </c>
      <c r="R67" s="17"/>
      <c r="S67" s="1">
        <f>2240*0.00467467159277504</f>
        <v>10.47126436781609</v>
      </c>
      <c r="T67" s="1"/>
      <c r="U67" s="1"/>
      <c r="V67" s="17"/>
      <c r="W67" s="17"/>
      <c r="X67" s="1"/>
      <c r="Y67" s="1">
        <v>9</v>
      </c>
      <c r="Z67" s="1"/>
      <c r="AA67" s="1"/>
      <c r="AB67" s="17"/>
      <c r="AC67" s="17"/>
      <c r="AD67" s="1"/>
      <c r="AE67" s="1"/>
      <c r="AF67" s="17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>
        <v>11.843393148450245</v>
      </c>
      <c r="AS67" s="1"/>
      <c r="AT67" s="1"/>
      <c r="AU67" s="1"/>
      <c r="AV67" s="3"/>
      <c r="AW67" s="1"/>
      <c r="AX67" s="1"/>
      <c r="AY67" s="18"/>
      <c r="AZ67" s="1"/>
      <c r="BA67" s="17">
        <v>10.006433823529402</v>
      </c>
      <c r="BB67" s="1"/>
      <c r="BC67" s="1"/>
      <c r="BD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R67" s="1"/>
      <c r="BS67" s="1"/>
      <c r="BT67" s="1"/>
      <c r="BU67" s="1"/>
      <c r="BV67" s="1"/>
      <c r="BX67" s="1"/>
      <c r="BY67" s="1"/>
      <c r="BZ67" s="1"/>
      <c r="CA67" s="1"/>
      <c r="CB67" s="1"/>
      <c r="CC67" s="1"/>
      <c r="CD67" s="1"/>
      <c r="CE67" s="1"/>
      <c r="CG67" s="1"/>
      <c r="CH67" s="1"/>
      <c r="CI67" s="1"/>
      <c r="CJ67" s="1"/>
      <c r="CK67" s="1"/>
      <c r="CL67" s="1"/>
      <c r="CN67" s="1"/>
      <c r="CO67" s="1"/>
      <c r="CP67" s="1"/>
      <c r="CQ67" s="1">
        <f>(1/112*2240)*0.382340018677235</f>
        <v>7.6468003735446999</v>
      </c>
      <c r="CR67" s="1"/>
      <c r="CT67" s="1">
        <f>(1/112*2240)*0.261488673139159</f>
        <v>5.2297734627831804</v>
      </c>
      <c r="CU67" s="1"/>
      <c r="CV67" s="1"/>
      <c r="CX67" s="1"/>
      <c r="CY67" s="1"/>
      <c r="CZ67" s="1"/>
      <c r="DD67" s="1">
        <v>5.1969100069870748</v>
      </c>
      <c r="DE67" s="1">
        <v>5.6768502878172669</v>
      </c>
    </row>
    <row r="68" spans="1:109" x14ac:dyDescent="0.25">
      <c r="A68" s="8">
        <f t="shared" si="3"/>
        <v>1901</v>
      </c>
      <c r="C68" s="17"/>
      <c r="D68" s="17"/>
      <c r="E68" s="17"/>
      <c r="F68" s="17"/>
      <c r="G68" s="17">
        <f>2240*0.00753465943339361</f>
        <v>16.877637130801688</v>
      </c>
      <c r="H68" s="17"/>
      <c r="I68" s="1">
        <f>2240*0.00446397971074097</f>
        <v>9.9993145520597739</v>
      </c>
      <c r="J68" s="1">
        <f>2240*0.0017856905729386</f>
        <v>3.9999468833824636</v>
      </c>
      <c r="L68" s="1"/>
      <c r="M68" s="1"/>
      <c r="N68" s="1"/>
      <c r="O68" s="1"/>
      <c r="P68" s="1">
        <v>7.484460864063629</v>
      </c>
      <c r="Q68" s="1">
        <v>11.716443726937269</v>
      </c>
      <c r="R68" s="17"/>
      <c r="S68" s="1">
        <f>2240*0.00405276087639615</f>
        <v>9.0781843631273755</v>
      </c>
      <c r="T68" s="1"/>
      <c r="U68" s="1"/>
      <c r="V68" s="17">
        <v>15.925925925925926</v>
      </c>
      <c r="W68" s="17"/>
      <c r="X68" s="1"/>
      <c r="Y68" s="1">
        <v>8</v>
      </c>
      <c r="Z68" s="1"/>
      <c r="AA68" s="1"/>
      <c r="AB68" s="17"/>
      <c r="AC68" s="17"/>
      <c r="AD68" s="1"/>
      <c r="AE68" s="1"/>
      <c r="AF68" s="17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>
        <v>9.9640933572710964</v>
      </c>
      <c r="AS68" s="1"/>
      <c r="AT68" s="1"/>
      <c r="AU68" s="1"/>
      <c r="AV68" s="3"/>
      <c r="AW68" s="1"/>
      <c r="AX68" s="1"/>
      <c r="AY68" s="18"/>
      <c r="AZ68" s="1"/>
      <c r="BA68" s="17">
        <v>10.337423312883427</v>
      </c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G68" s="1"/>
      <c r="CH68" s="1"/>
      <c r="CI68" s="1"/>
      <c r="CJ68" s="1"/>
      <c r="CK68" s="1"/>
      <c r="CL68" s="1"/>
      <c r="CN68" s="1">
        <v>7.9998278632086297</v>
      </c>
      <c r="CO68" s="1"/>
      <c r="CP68" s="1"/>
      <c r="CQ68" s="1">
        <f>(1/112*2240)*0.43251046796248</f>
        <v>8.6502093592495992</v>
      </c>
      <c r="CR68" s="1"/>
      <c r="CT68" s="1">
        <f>(1/112*2240)*0.347301951779564</f>
        <v>6.94603903559128</v>
      </c>
      <c r="CU68" s="1"/>
      <c r="CV68" s="1"/>
      <c r="CX68" s="1"/>
      <c r="CY68" s="1"/>
      <c r="CZ68" s="1"/>
      <c r="DD68" s="1">
        <v>5.8426308112715182</v>
      </c>
      <c r="DE68" s="1">
        <v>5.1326686741085048</v>
      </c>
    </row>
    <row r="69" spans="1:109" x14ac:dyDescent="0.25">
      <c r="A69" s="8">
        <f t="shared" si="3"/>
        <v>1902</v>
      </c>
      <c r="C69" s="17"/>
      <c r="D69" s="17"/>
      <c r="E69" s="17"/>
      <c r="F69" s="17">
        <f>2240*0.0123456790123457</f>
        <v>27.654320987654366</v>
      </c>
      <c r="G69" s="17"/>
      <c r="H69" s="17"/>
      <c r="I69" s="1">
        <f>2240*0.00446421816877084</f>
        <v>9.9998486980466819</v>
      </c>
      <c r="J69" s="1">
        <f>2240*0.00178564263071305</f>
        <v>3.9998394927972321</v>
      </c>
      <c r="L69" s="1"/>
      <c r="M69" s="1"/>
      <c r="N69" s="1"/>
      <c r="O69" s="1"/>
      <c r="P69" s="1">
        <v>6.9495219533720665</v>
      </c>
      <c r="Q69" s="1">
        <v>12.162896925403224</v>
      </c>
      <c r="R69" s="17"/>
      <c r="S69" s="1">
        <f>2240*0.00422327177527772</f>
        <v>9.4601287766220938</v>
      </c>
      <c r="T69" s="1"/>
      <c r="V69" s="17">
        <v>16.279069767441861</v>
      </c>
      <c r="W69" s="17"/>
      <c r="X69" s="1"/>
      <c r="Y69" s="1"/>
      <c r="Z69" s="1"/>
      <c r="AA69" s="1"/>
      <c r="AB69" s="17"/>
      <c r="AC69" s="17"/>
      <c r="AD69" s="1"/>
      <c r="AE69" s="1"/>
      <c r="AF69" s="17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>
        <v>9.9933199732798919</v>
      </c>
      <c r="AS69" s="1"/>
      <c r="AT69" s="1"/>
      <c r="AU69" s="1"/>
      <c r="AV69" s="3"/>
      <c r="AW69" s="1"/>
      <c r="AX69" s="1"/>
      <c r="AY69" s="18"/>
      <c r="AZ69" s="1"/>
      <c r="BA69" s="17">
        <v>10.239591516103683</v>
      </c>
      <c r="BB69" s="1"/>
      <c r="BC69" s="1"/>
      <c r="BD69" s="1"/>
      <c r="BE69" s="1"/>
      <c r="BF69" s="1"/>
      <c r="BG69" s="1"/>
      <c r="BH69" s="1"/>
      <c r="BI69" s="3"/>
      <c r="BJ69" s="1">
        <f>2240*0.00725127597936014</f>
        <v>16.242858193766711</v>
      </c>
      <c r="BK69" s="1"/>
      <c r="BL69" s="1"/>
      <c r="BM69" s="1"/>
      <c r="BN69" s="1"/>
      <c r="BO69" s="1">
        <f>AVERAGE((1/112*2240)*1.20917678812416,(1/112*2240)*0.642375168690958)</f>
        <v>18.515519568151181</v>
      </c>
      <c r="BP69" s="1"/>
      <c r="BR69" s="1"/>
      <c r="BS69" s="1"/>
      <c r="BT69" s="1"/>
      <c r="BU69" s="1"/>
      <c r="BV69" s="1"/>
      <c r="BW69" s="1">
        <f>2240*0.00324239053892638</f>
        <v>7.2629548071950909</v>
      </c>
      <c r="BX69" s="1"/>
      <c r="BY69" s="1"/>
      <c r="BZ69" s="1"/>
      <c r="CA69" s="1"/>
      <c r="CB69" s="1"/>
      <c r="CC69" s="1"/>
      <c r="CD69" s="1"/>
      <c r="CE69" s="1"/>
      <c r="CG69" s="1"/>
      <c r="CH69" s="1"/>
      <c r="CI69" s="1"/>
      <c r="CJ69" s="1"/>
      <c r="CK69" s="1"/>
      <c r="CL69" s="1"/>
      <c r="CN69" s="1">
        <v>7.9997294966947869</v>
      </c>
      <c r="CO69" s="1"/>
      <c r="CP69" s="1"/>
      <c r="CQ69" s="1">
        <f>(1/112*2240)*0.421734329285073</f>
        <v>8.4346865857014599</v>
      </c>
      <c r="CR69" s="1"/>
      <c r="CT69" s="1">
        <f>(1/112*2240)*0.382321618743344</f>
        <v>7.6464323748668805</v>
      </c>
      <c r="CU69" s="1"/>
      <c r="CV69" s="1"/>
      <c r="CX69" s="1"/>
      <c r="CY69" s="1"/>
      <c r="DD69" s="1">
        <v>5.9484006924269099</v>
      </c>
      <c r="DE69" s="1">
        <v>4.8725678803526025</v>
      </c>
    </row>
    <row r="70" spans="1:109" x14ac:dyDescent="0.25">
      <c r="A70" s="8">
        <f t="shared" si="3"/>
        <v>1903</v>
      </c>
      <c r="C70" s="17">
        <v>8.7200000000000006</v>
      </c>
      <c r="D70" s="17">
        <v>9.4880053938202362</v>
      </c>
      <c r="E70" s="17"/>
      <c r="F70" s="17"/>
      <c r="G70" s="17"/>
      <c r="H70" s="17"/>
      <c r="I70" s="1">
        <f>2240*0.00446421302144032</f>
        <v>9.9998371680263158</v>
      </c>
      <c r="J70" s="1">
        <f>2240*0.00178575070730734</f>
        <v>4.0000815843684414</v>
      </c>
      <c r="L70" s="1"/>
      <c r="M70" s="1"/>
      <c r="N70" s="1"/>
      <c r="O70" s="1"/>
      <c r="P70" s="1">
        <v>8.357512966940849</v>
      </c>
      <c r="Q70" s="1">
        <v>10.171706116908458</v>
      </c>
      <c r="R70" s="17"/>
      <c r="S70" s="1">
        <f>2240*0.00460502923514539</f>
        <v>10.315265486725673</v>
      </c>
      <c r="T70" s="1"/>
      <c r="V70" s="17">
        <v>16.5</v>
      </c>
      <c r="W70" s="17"/>
      <c r="X70" s="1"/>
      <c r="Y70" s="1"/>
      <c r="Z70" s="1"/>
      <c r="AA70" s="1"/>
      <c r="AB70" s="17"/>
      <c r="AC70" s="17"/>
      <c r="AD70" s="1"/>
      <c r="AE70" s="1"/>
      <c r="AF70" s="17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>
        <v>9.9903753609239647</v>
      </c>
      <c r="AS70" s="1"/>
      <c r="AT70" s="1"/>
      <c r="AU70" s="1"/>
      <c r="AV70" s="3"/>
      <c r="AW70" s="1"/>
      <c r="AX70" s="1"/>
      <c r="AY70" s="18"/>
      <c r="AZ70" s="1"/>
      <c r="BA70" s="17">
        <v>10.262308313155762</v>
      </c>
      <c r="BB70" s="1"/>
      <c r="BC70" s="1"/>
      <c r="BD70" s="1"/>
      <c r="BF70" s="1"/>
      <c r="BG70" s="1"/>
      <c r="BH70" s="1"/>
      <c r="BI70" s="3"/>
      <c r="BJ70" s="1">
        <f>2240*0.00982116894748468</f>
        <v>21.99941844236568</v>
      </c>
      <c r="BK70" s="1"/>
      <c r="BL70" s="1"/>
      <c r="BM70" s="1">
        <f>(1/112*2240)*0.901086910906878</f>
        <v>18.02173821813756</v>
      </c>
      <c r="BN70" s="1">
        <f>(1/112*2240)*0.522407807510749</f>
        <v>10.448156150214981</v>
      </c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G70" s="1"/>
      <c r="CH70" s="1"/>
      <c r="CI70" s="1"/>
      <c r="CJ70" s="1"/>
      <c r="CK70" s="1"/>
      <c r="CL70" s="1"/>
      <c r="CN70" s="1">
        <v>8.8888675408681177</v>
      </c>
      <c r="CO70" s="1"/>
      <c r="CP70" s="1"/>
      <c r="CQ70" s="1">
        <f>(1/112*2240)*0.469528026418702</f>
        <v>9.3905605283740403</v>
      </c>
      <c r="CR70" s="1"/>
      <c r="CU70" s="1"/>
      <c r="CV70" s="1"/>
      <c r="CX70" s="1"/>
      <c r="CY70" s="1"/>
      <c r="DD70" s="1">
        <v>5.2757019581059224</v>
      </c>
      <c r="DE70" s="1">
        <v>5.9476038538441527</v>
      </c>
    </row>
    <row r="71" spans="1:109" x14ac:dyDescent="0.25">
      <c r="A71" s="8">
        <f t="shared" si="3"/>
        <v>1904</v>
      </c>
      <c r="C71" s="17">
        <v>7.83</v>
      </c>
      <c r="D71" s="17">
        <v>8.2194860417162161</v>
      </c>
      <c r="E71" s="17"/>
      <c r="F71" s="17"/>
      <c r="G71" s="17"/>
      <c r="H71" s="17"/>
      <c r="I71" s="1">
        <f>2240*0.00446413347947875</f>
        <v>9.9996589940323997</v>
      </c>
      <c r="J71" s="1">
        <f>2240*0.00193458068665101</f>
        <v>4.3334607380982622</v>
      </c>
      <c r="L71" s="1"/>
      <c r="M71" s="1"/>
      <c r="N71" s="1"/>
      <c r="O71" s="1"/>
      <c r="P71" s="1">
        <v>7.5481194971215713</v>
      </c>
      <c r="Q71" s="1">
        <v>9.997790854717346</v>
      </c>
      <c r="R71" s="17"/>
      <c r="S71" s="1">
        <f>2240*0.00458238851095994</f>
        <v>10.264550264550266</v>
      </c>
      <c r="T71" s="1"/>
      <c r="V71" s="17">
        <v>14.761904761904763</v>
      </c>
      <c r="W71" s="17"/>
      <c r="X71" s="1"/>
      <c r="Y71" s="1"/>
      <c r="Z71" s="1"/>
      <c r="AA71" s="1"/>
      <c r="AB71" s="17"/>
      <c r="AC71" s="17"/>
      <c r="AD71" s="1"/>
      <c r="AE71" s="1"/>
      <c r="AF71" s="17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>
        <v>9.9970700263697623</v>
      </c>
      <c r="AS71" s="1"/>
      <c r="AT71" s="1"/>
      <c r="AU71" s="1"/>
      <c r="AV71" s="1"/>
      <c r="AW71" s="1"/>
      <c r="AX71" s="1"/>
      <c r="AY71" s="18"/>
      <c r="AZ71" s="1"/>
      <c r="BA71" s="17">
        <v>10.380132450331118</v>
      </c>
      <c r="BB71" s="1"/>
      <c r="BC71" s="1"/>
      <c r="BD71" s="1"/>
      <c r="BF71" s="1"/>
      <c r="BG71" s="1"/>
      <c r="BH71" s="1"/>
      <c r="BI71" s="3"/>
      <c r="BJ71" s="1">
        <f>2240*0.0115533829290714</f>
        <v>25.879577761119936</v>
      </c>
      <c r="BK71" s="1"/>
      <c r="BL71" s="1"/>
      <c r="BM71" s="1">
        <f>(1/112*2240)*0.963370828714556</f>
        <v>19.267416574291122</v>
      </c>
      <c r="BN71" s="1">
        <f>AVERAGE((1/112*2240)*0.215879940953288,(1/112*2240)*0.337063969028552)</f>
        <v>5.5294390998183998</v>
      </c>
      <c r="BO71" s="1">
        <f>AVERAGE((1/112*2240)*1.42168062960142,(1/112*2240)*0.497588220360498)</f>
        <v>19.19268849961918</v>
      </c>
      <c r="BP71" s="1"/>
      <c r="BQ71" s="12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G71" s="1"/>
      <c r="CH71" s="1"/>
      <c r="CI71" s="1"/>
      <c r="CJ71" s="1"/>
      <c r="CK71" s="1"/>
      <c r="CL71" s="1"/>
      <c r="CN71" s="1">
        <v>8.3333385650294609</v>
      </c>
      <c r="CO71" s="1"/>
      <c r="CP71" s="1"/>
      <c r="CQ71" s="1">
        <f>(1/112*2240)*0.35782033037861</f>
        <v>7.1564066075722002</v>
      </c>
      <c r="CR71" s="1"/>
      <c r="CU71" s="1"/>
      <c r="CV71" s="1"/>
      <c r="CX71" s="1"/>
      <c r="CY71" s="1"/>
      <c r="DD71" s="1">
        <v>5.3996925583650039</v>
      </c>
      <c r="DE71" s="1">
        <v>5.1615829592743552</v>
      </c>
    </row>
    <row r="72" spans="1:109" x14ac:dyDescent="0.25">
      <c r="A72" s="8">
        <f t="shared" ref="A72:A103" si="4">A71+1</f>
        <v>1905</v>
      </c>
      <c r="C72" s="17">
        <v>8.27</v>
      </c>
      <c r="D72" s="17">
        <v>8.8014826096277119</v>
      </c>
      <c r="E72" s="17"/>
      <c r="F72" s="17"/>
      <c r="G72" s="17"/>
      <c r="H72" s="17"/>
      <c r="I72" s="1">
        <f>2240*0.00476197561936506</f>
        <v>10.666825387377735</v>
      </c>
      <c r="J72" s="1">
        <f>2240*0.00186102864128536</f>
        <v>4.1687041564792064</v>
      </c>
      <c r="K72" s="1">
        <f>2240*0.00559440559440559</f>
        <v>12.531468531468521</v>
      </c>
      <c r="L72" s="1"/>
      <c r="M72" s="1"/>
      <c r="N72" s="1"/>
      <c r="O72" s="1"/>
      <c r="P72" s="1">
        <v>7.8418128583329247</v>
      </c>
      <c r="Q72" s="1">
        <v>10.612257924131429</v>
      </c>
      <c r="R72" s="17"/>
      <c r="S72" s="1">
        <f>2240*0.0052528870829769</f>
        <v>11.766467065868255</v>
      </c>
      <c r="T72" s="1"/>
      <c r="U72" s="1"/>
      <c r="V72" s="17"/>
      <c r="W72" s="17"/>
      <c r="X72" s="1"/>
      <c r="Y72" s="1"/>
      <c r="Z72" s="1"/>
      <c r="AA72" s="1"/>
      <c r="AB72" s="17"/>
      <c r="AC72" s="17"/>
      <c r="AD72" s="1"/>
      <c r="AE72" s="1"/>
      <c r="AF72" s="17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>
        <v>10.016518004625041</v>
      </c>
      <c r="AS72" s="1"/>
      <c r="AT72" s="1"/>
      <c r="AU72" s="1"/>
      <c r="AV72" s="1"/>
      <c r="AW72" s="1"/>
      <c r="AX72" s="1">
        <v>7.7540084388185653</v>
      </c>
      <c r="AY72" s="18"/>
      <c r="AZ72" s="1"/>
      <c r="BA72" s="17">
        <v>8.4763670064874805</v>
      </c>
      <c r="BB72" s="1"/>
      <c r="BC72" s="1"/>
      <c r="BD72" s="1"/>
      <c r="BE72" s="1"/>
      <c r="BF72" s="1"/>
      <c r="BG72" s="1"/>
      <c r="BH72" s="1"/>
      <c r="BI72" s="3"/>
      <c r="BJ72" s="1">
        <f>2240*0.00873883394151545</f>
        <v>19.574988028994611</v>
      </c>
      <c r="BK72" s="1"/>
      <c r="BL72" s="1"/>
      <c r="BM72" s="1"/>
      <c r="BN72" s="1">
        <f>(1/112*2240)*0.615384615384615</f>
        <v>12.307692307692299</v>
      </c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F72" s="3"/>
      <c r="CG72" s="1"/>
      <c r="CH72" s="1"/>
      <c r="CI72" s="1"/>
      <c r="CJ72" s="1"/>
      <c r="CK72" s="1"/>
      <c r="CL72" s="1"/>
      <c r="CN72" s="1">
        <v>9.7778315767658057</v>
      </c>
      <c r="CO72" s="1"/>
      <c r="CP72" s="1"/>
      <c r="CQ72" s="1">
        <f>(1/112*2240)*0.35</f>
        <v>7</v>
      </c>
      <c r="CR72" s="1"/>
      <c r="CU72" s="1"/>
      <c r="CV72" s="1"/>
      <c r="CY72" s="1"/>
      <c r="DD72" s="1">
        <v>5.2573996298640449</v>
      </c>
      <c r="DE72" s="1">
        <v>5.5816676051090255</v>
      </c>
    </row>
    <row r="73" spans="1:109" x14ac:dyDescent="0.25">
      <c r="A73" s="8">
        <f t="shared" si="4"/>
        <v>1906</v>
      </c>
      <c r="C73" s="17">
        <v>8.68</v>
      </c>
      <c r="D73" s="17">
        <v>9.8068788451468585</v>
      </c>
      <c r="E73" s="17"/>
      <c r="F73" s="17"/>
      <c r="G73" s="17"/>
      <c r="H73" s="17"/>
      <c r="I73" s="1">
        <f>2240*0.0018851401179941</f>
        <v>4.2227138643067841</v>
      </c>
      <c r="J73" s="1">
        <f>2240*0.00188493160786049</f>
        <v>4.2222468016074979</v>
      </c>
      <c r="K73" s="1">
        <f>2240*0.00734265734265734</f>
        <v>16.44755244755244</v>
      </c>
      <c r="L73" s="1"/>
      <c r="M73" s="1"/>
      <c r="N73" s="1"/>
      <c r="O73" s="1"/>
      <c r="P73" s="1">
        <v>8.1843705339742758</v>
      </c>
      <c r="Q73" s="1">
        <v>9.6109863528052557</v>
      </c>
      <c r="R73" s="17"/>
      <c r="S73" s="1">
        <f>2240*0.00563446237390662</f>
        <v>12.621195717550828</v>
      </c>
      <c r="T73" s="1"/>
      <c r="U73" s="1"/>
      <c r="V73" s="17"/>
      <c r="W73" s="17"/>
      <c r="X73" s="1"/>
      <c r="Y73" s="1"/>
      <c r="Z73" s="1"/>
      <c r="AA73" s="1"/>
      <c r="AB73" s="17"/>
      <c r="AC73" s="17"/>
      <c r="AD73" s="1"/>
      <c r="AE73" s="1"/>
      <c r="AF73" s="17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>
        <v>10</v>
      </c>
      <c r="AS73" s="1"/>
      <c r="AT73" s="1"/>
      <c r="AU73" s="1"/>
      <c r="AV73" s="1"/>
      <c r="AW73" s="1"/>
      <c r="AX73" s="1">
        <v>10.599746789654549</v>
      </c>
      <c r="AY73" s="18"/>
      <c r="AZ73" s="1"/>
      <c r="BA73" s="17">
        <v>10.306122448979583</v>
      </c>
      <c r="BB73" s="1"/>
      <c r="BC73" s="1"/>
      <c r="BD73" s="1"/>
      <c r="BF73" s="1"/>
      <c r="BG73" s="1"/>
      <c r="BH73" s="1"/>
      <c r="BI73" s="3"/>
      <c r="BJ73" s="1">
        <f>2240*0.0097757392294603</f>
        <v>21.897655873991074</v>
      </c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21">
        <f>2240*0.00333640300557067</f>
        <v>7.4735427324783013</v>
      </c>
      <c r="CA73" s="1"/>
      <c r="CB73" s="3"/>
      <c r="CC73" s="21">
        <f>2240*0.0043606056246642</f>
        <v>9.7677565992478073</v>
      </c>
      <c r="CD73" s="1"/>
      <c r="CE73" s="3"/>
      <c r="CF73" s="1">
        <f>2240*0.00470034327465121</f>
        <v>10.528768935218711</v>
      </c>
      <c r="CG73" s="3"/>
      <c r="CH73" s="1"/>
      <c r="CI73" s="1"/>
      <c r="CJ73" s="1"/>
      <c r="CK73" s="1"/>
      <c r="CL73" s="1"/>
      <c r="CN73" s="1">
        <v>12.333338542724823</v>
      </c>
      <c r="CO73" s="1"/>
      <c r="CP73" s="1"/>
      <c r="CQ73" s="1">
        <f>(1/112*2240)*0.4</f>
        <v>8</v>
      </c>
      <c r="CR73" s="1"/>
      <c r="CT73" s="1">
        <f>(1/112*2240)*0.557409224730128</f>
        <v>11.14818449460256</v>
      </c>
      <c r="CU73" s="1"/>
      <c r="CV73" s="1"/>
      <c r="CW73" s="1">
        <f>(1/112*2240)*0.488402758993779</f>
        <v>9.7680551798755797</v>
      </c>
      <c r="CY73" s="1"/>
      <c r="DD73" s="1">
        <v>6.8502218719548713</v>
      </c>
      <c r="DE73" s="1">
        <v>6.2739586176951585</v>
      </c>
    </row>
    <row r="74" spans="1:109" x14ac:dyDescent="0.25">
      <c r="A74" s="8">
        <f t="shared" si="4"/>
        <v>1907</v>
      </c>
      <c r="C74" s="17">
        <v>9.68</v>
      </c>
      <c r="D74" s="17">
        <v>10.772960587892795</v>
      </c>
      <c r="E74" s="1"/>
      <c r="F74" s="17">
        <f>2240*0.00595238095238095</f>
        <v>13.333333333333329</v>
      </c>
      <c r="G74" s="17"/>
      <c r="H74" s="17"/>
      <c r="I74" s="1">
        <f>2240*0.00595238095238095</f>
        <v>13.333333333333329</v>
      </c>
      <c r="J74" s="3">
        <f>2240*0.00280209772406486</f>
        <v>6.2766989019052861</v>
      </c>
      <c r="K74" s="1">
        <f>2240*0.00188730547407364</f>
        <v>4.2275642619249538</v>
      </c>
      <c r="L74" s="1"/>
      <c r="M74" s="1"/>
      <c r="N74" s="1"/>
      <c r="O74" s="1"/>
      <c r="P74" s="1">
        <v>9.0576281755196302</v>
      </c>
      <c r="Q74" s="1">
        <v>11.111117861482382</v>
      </c>
      <c r="R74" s="17"/>
      <c r="S74" s="1">
        <f>2240*0.00569763686578467</f>
        <v>12.762706579357662</v>
      </c>
      <c r="T74" s="1"/>
      <c r="U74" s="1"/>
      <c r="V74" s="17"/>
      <c r="W74" s="17"/>
      <c r="X74" s="1"/>
      <c r="Y74" s="1"/>
      <c r="Z74" s="1"/>
      <c r="AA74" s="1"/>
      <c r="AB74" s="17"/>
      <c r="AC74" s="17"/>
      <c r="AD74" s="1"/>
      <c r="AE74" s="1"/>
      <c r="AF74" s="17"/>
      <c r="AG74" s="1"/>
      <c r="AH74" s="1"/>
      <c r="AI74" s="1"/>
      <c r="AJ74" s="1"/>
      <c r="AK74" s="1"/>
      <c r="AL74" s="1"/>
      <c r="AM74" s="1"/>
      <c r="AN74" s="1"/>
      <c r="AO74" s="1">
        <v>14.251401120896718</v>
      </c>
      <c r="AP74" s="1"/>
      <c r="AQ74" s="1"/>
      <c r="AR74" s="1">
        <v>10.397753860552177</v>
      </c>
      <c r="AS74" s="1"/>
      <c r="AT74" s="1"/>
      <c r="AU74" s="1"/>
      <c r="AV74" s="1"/>
      <c r="AW74" s="1"/>
      <c r="AX74" s="1">
        <v>11.286415042921378</v>
      </c>
      <c r="AY74" s="18"/>
      <c r="AZ74" s="1"/>
      <c r="BA74" s="17">
        <v>10.281288723667895</v>
      </c>
      <c r="BB74" s="1"/>
      <c r="BC74" s="1"/>
      <c r="BD74" s="1"/>
      <c r="BF74" s="1"/>
      <c r="BH74" s="1"/>
      <c r="BI74" s="3"/>
      <c r="BJ74" s="1">
        <f>2240*0.00974170161212964</f>
        <v>21.821411611170394</v>
      </c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21">
        <f>2240*0.00321431512439175</f>
        <v>7.2000658786375205</v>
      </c>
      <c r="CA74" s="1"/>
      <c r="CB74" s="3"/>
      <c r="CC74" s="21">
        <f>2240*0.0044890340706906</f>
        <v>10.055436318346946</v>
      </c>
      <c r="CD74" s="1"/>
      <c r="CE74" s="3"/>
      <c r="CF74" s="1">
        <f>2240*0.00478211299721307</f>
        <v>10.711933113757276</v>
      </c>
      <c r="CG74" s="3"/>
      <c r="CH74" s="1"/>
      <c r="CI74" s="1"/>
      <c r="CJ74" s="1"/>
      <c r="CK74" s="1"/>
      <c r="CL74" s="1"/>
      <c r="CN74" s="1">
        <v>14.673561100351616</v>
      </c>
      <c r="CO74" s="1"/>
      <c r="CP74" s="1"/>
      <c r="CQ74" s="1">
        <f>(1/112*2240)*0.458333333333333</f>
        <v>9.166666666666659</v>
      </c>
      <c r="CR74" s="1"/>
      <c r="CT74" s="1">
        <f>(1/112*2240)*0.677368086458996</f>
        <v>13.54736172917992</v>
      </c>
      <c r="CU74" s="1"/>
      <c r="CV74" s="1"/>
      <c r="CW74" s="1">
        <f>(1/112*2240)*0.581138002427358</f>
        <v>11.62276004854716</v>
      </c>
      <c r="CY74" s="1"/>
      <c r="DD74" s="1">
        <v>8.7143085606351267</v>
      </c>
      <c r="DE74" s="1">
        <v>7.0582989239590042</v>
      </c>
    </row>
    <row r="75" spans="1:109" x14ac:dyDescent="0.25">
      <c r="A75" s="8">
        <f t="shared" si="4"/>
        <v>1908</v>
      </c>
      <c r="C75" s="17">
        <v>9.15</v>
      </c>
      <c r="D75" s="17">
        <v>10.139318228440866</v>
      </c>
      <c r="E75" s="1"/>
      <c r="F75" s="17">
        <f>2240*0.00595238095238095</f>
        <v>13.333333333333329</v>
      </c>
      <c r="G75" s="17">
        <f>2240*0.00477867203219316</f>
        <v>10.704225352112678</v>
      </c>
      <c r="H75" s="17"/>
      <c r="I75" s="1">
        <f>2240*0.00654703318335208</f>
        <v>14.665354330708659</v>
      </c>
      <c r="J75" s="3">
        <f>2240*0.0029761174247073</f>
        <v>6.6665030313443525</v>
      </c>
      <c r="K75" s="3">
        <f>2240*0.00248254356931174</f>
        <v>5.5608975952582975</v>
      </c>
      <c r="L75" s="1"/>
      <c r="M75" s="1"/>
      <c r="N75" s="1"/>
      <c r="O75" s="1"/>
      <c r="P75" s="1">
        <v>8.8749446010197701</v>
      </c>
      <c r="Q75" s="1">
        <v>11.971509150162946</v>
      </c>
      <c r="R75" s="17"/>
      <c r="S75" s="3"/>
      <c r="T75" s="1"/>
      <c r="U75" s="1"/>
      <c r="V75" s="17">
        <v>20</v>
      </c>
      <c r="W75" s="17"/>
      <c r="X75" s="1"/>
      <c r="Y75" s="1"/>
      <c r="Z75" s="1"/>
      <c r="AA75" s="1"/>
      <c r="AB75" s="17"/>
      <c r="AC75" s="17"/>
      <c r="AD75" s="1"/>
      <c r="AE75" s="1"/>
      <c r="AF75" s="17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>
        <v>11.541593160537387</v>
      </c>
      <c r="AS75" s="1"/>
      <c r="AT75" s="1"/>
      <c r="AU75" s="1"/>
      <c r="AV75" s="1"/>
      <c r="AW75" s="1"/>
      <c r="AX75" s="1">
        <v>12.933288500336248</v>
      </c>
      <c r="AY75" s="3"/>
      <c r="AZ75" s="1"/>
      <c r="BA75" s="17">
        <v>10.361702127659566</v>
      </c>
      <c r="BB75" s="1"/>
      <c r="BC75" s="1"/>
      <c r="BD75" s="1"/>
      <c r="BF75" s="1"/>
      <c r="BG75" s="1"/>
      <c r="BI75" s="3"/>
      <c r="BJ75" s="1">
        <f>2240*0.00874425439666608</f>
        <v>19.587129848532019</v>
      </c>
      <c r="BK75" s="1"/>
      <c r="BL75" s="1"/>
      <c r="BM75" s="1"/>
      <c r="BN75" s="1"/>
      <c r="BO75" s="1"/>
      <c r="BP75" s="1">
        <f>(1/112*2240)*0.666666666666667</f>
        <v>13.333333333333339</v>
      </c>
      <c r="BQ75" s="1"/>
      <c r="BR75" s="1"/>
      <c r="BS75" s="1"/>
      <c r="BT75" s="1"/>
      <c r="BU75" s="1"/>
      <c r="BV75" s="1"/>
      <c r="BW75" s="1"/>
      <c r="BX75" s="1"/>
      <c r="BY75" s="1"/>
      <c r="BZ75" s="21">
        <f>2240*0.00318619956439325</f>
        <v>7.1370870242408797</v>
      </c>
      <c r="CA75" s="1"/>
      <c r="CB75" s="3"/>
      <c r="CC75" s="21">
        <f>2240*0.00437803030307967</f>
        <v>9.8067878788984597</v>
      </c>
      <c r="CD75" s="1"/>
      <c r="CE75" s="3"/>
      <c r="CF75" s="1">
        <f>2240*0.00427516926932513</f>
        <v>9.5763791632882906</v>
      </c>
      <c r="CG75" s="3"/>
      <c r="CH75" s="1"/>
      <c r="CI75" s="3">
        <f>2240*0.00476466993736634</f>
        <v>10.672860659700602</v>
      </c>
      <c r="CJ75" s="1"/>
      <c r="CK75" s="1"/>
      <c r="CL75" s="1"/>
      <c r="CN75" s="1">
        <v>20.168544925852192</v>
      </c>
      <c r="CO75" s="1"/>
      <c r="CP75" s="1"/>
      <c r="CQ75" s="1">
        <f>(1/112*2240)*0.45</f>
        <v>9</v>
      </c>
      <c r="CR75" s="1"/>
      <c r="CT75" s="1">
        <f>(1/112*2240)*0.502900905082386</f>
        <v>10.058018101647722</v>
      </c>
      <c r="CU75" s="1"/>
      <c r="CV75" s="1"/>
      <c r="CW75" s="1">
        <f>(1/112*2240)*0.587498603646654</f>
        <v>11.74997207293308</v>
      </c>
      <c r="CY75" s="1"/>
      <c r="DD75" s="1">
        <v>8.7669677266104014</v>
      </c>
      <c r="DE75" s="1">
        <v>6.9448209110212495</v>
      </c>
    </row>
    <row r="76" spans="1:109" x14ac:dyDescent="0.25">
      <c r="A76" s="8">
        <f t="shared" si="4"/>
        <v>1909</v>
      </c>
      <c r="C76" s="17">
        <v>8.83</v>
      </c>
      <c r="D76" s="17">
        <v>9.9958562243520337</v>
      </c>
      <c r="E76" s="1"/>
      <c r="F76" s="17">
        <f>2240*0.00649350649350649</f>
        <v>14.545454545454536</v>
      </c>
      <c r="G76" s="17"/>
      <c r="H76" s="17"/>
      <c r="I76" s="1">
        <f>2240*0.00595238095238095</f>
        <v>13.333333333333329</v>
      </c>
      <c r="J76" s="1">
        <f>2240*0.00297619047619048</f>
        <v>6.666666666666675</v>
      </c>
      <c r="K76" s="1"/>
      <c r="L76" s="1"/>
      <c r="M76" s="1"/>
      <c r="N76" s="1"/>
      <c r="O76" s="1"/>
      <c r="P76" s="1">
        <v>8.1426815712569702</v>
      </c>
      <c r="Q76" s="1">
        <v>11.690805429240733</v>
      </c>
      <c r="R76" s="17"/>
      <c r="S76" s="1">
        <f>2240*0.00578987787099845</f>
        <v>12.969326431036528</v>
      </c>
      <c r="T76" s="1"/>
      <c r="U76" s="1"/>
      <c r="V76" s="17">
        <v>20</v>
      </c>
      <c r="W76" s="17"/>
      <c r="X76" s="1"/>
      <c r="Y76" s="1"/>
      <c r="Z76" s="1"/>
      <c r="AA76" s="1"/>
      <c r="AB76" s="17"/>
      <c r="AC76" s="17"/>
      <c r="AD76" s="1"/>
      <c r="AE76" s="1"/>
      <c r="AF76" s="17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>
        <v>11.135623869801085</v>
      </c>
      <c r="AS76" s="1"/>
      <c r="AT76" s="1"/>
      <c r="AU76" s="1"/>
      <c r="AV76" s="1"/>
      <c r="AW76" s="1"/>
      <c r="AX76" s="1"/>
      <c r="AY76" s="14"/>
      <c r="AZ76" s="1"/>
      <c r="BA76" s="17">
        <v>10.229793977812987</v>
      </c>
      <c r="BB76" s="1"/>
      <c r="BC76" s="1"/>
      <c r="BD76" s="1"/>
      <c r="BE76" s="1"/>
      <c r="BF76" s="1"/>
      <c r="BG76" s="1"/>
      <c r="BH76" s="1"/>
      <c r="BI76" s="3"/>
      <c r="BJ76" s="1">
        <f>2240*0.00800875286689485</f>
        <v>17.939606421844463</v>
      </c>
      <c r="BK76" s="1"/>
      <c r="BL76" s="1"/>
      <c r="BM76" s="1"/>
      <c r="BN76" s="1"/>
      <c r="BO76" s="1"/>
      <c r="BP76" s="1"/>
      <c r="BQ76" s="12"/>
      <c r="BR76" s="1"/>
      <c r="BS76" s="1"/>
      <c r="BT76" s="1"/>
      <c r="BU76" s="1"/>
      <c r="BV76" s="1"/>
      <c r="BW76" s="1"/>
      <c r="BX76" s="1"/>
      <c r="BY76" s="1"/>
      <c r="BZ76" s="21">
        <f>2240*0.00297934652665833</f>
        <v>6.6737362197146597</v>
      </c>
      <c r="CA76" s="1"/>
      <c r="CB76" s="3"/>
      <c r="CC76" s="21">
        <f>2240*0.00379446285121882</f>
        <v>8.4995967867301569</v>
      </c>
      <c r="CD76" s="1"/>
      <c r="CE76" s="3"/>
      <c r="CF76" s="1">
        <f>2240*0.0046455709859893</f>
        <v>10.406079008616031</v>
      </c>
      <c r="CG76" s="3"/>
      <c r="CH76" s="1"/>
      <c r="CI76" s="3">
        <f>2240*0.0047924389106558</f>
        <v>10.735063159868993</v>
      </c>
      <c r="CJ76" s="1"/>
      <c r="CK76" s="1"/>
      <c r="CL76" s="1"/>
      <c r="CN76" s="1">
        <v>11.666666666666668</v>
      </c>
      <c r="CO76" s="1"/>
      <c r="CP76" s="1"/>
      <c r="CQ76" s="1">
        <f>(1/112*2240)*0.455</f>
        <v>9.1</v>
      </c>
      <c r="CR76" s="1"/>
      <c r="CT76" s="1">
        <f>(1/112*2240)*0.593573541274536</f>
        <v>11.87147082549072</v>
      </c>
      <c r="CU76" s="1"/>
      <c r="CV76" s="1"/>
      <c r="CW76" s="1">
        <f>(1/112*2240)*0.332659135834744</f>
        <v>6.6531827166948796</v>
      </c>
      <c r="CX76" s="1">
        <f>(1/112*2240)*0.643865363735071</f>
        <v>12.877307274701419</v>
      </c>
      <c r="CY76" s="1"/>
      <c r="DD76" s="1">
        <v>7.974917970299729</v>
      </c>
      <c r="DE76" s="1">
        <v>5.922744172725654</v>
      </c>
    </row>
    <row r="77" spans="1:109" x14ac:dyDescent="0.25">
      <c r="A77" s="8">
        <f t="shared" si="4"/>
        <v>1910</v>
      </c>
      <c r="C77" s="17">
        <v>8.59</v>
      </c>
      <c r="D77" s="17">
        <v>9.2642174317075643</v>
      </c>
      <c r="E77" s="1"/>
      <c r="F77" s="17">
        <f>2240*0.00597020245223838</f>
        <v>13.373253493013973</v>
      </c>
      <c r="G77" s="17"/>
      <c r="H77" s="17"/>
      <c r="I77" s="1">
        <f>2240*0.00595238095238095</f>
        <v>13.333333333333329</v>
      </c>
      <c r="J77" s="1">
        <f>2240*0.00297630873384837</f>
        <v>6.6669315638203486</v>
      </c>
      <c r="K77" s="1"/>
      <c r="L77" s="1"/>
      <c r="M77" s="1"/>
      <c r="N77" s="1"/>
      <c r="O77" s="1"/>
      <c r="P77" s="1">
        <v>8.0960159362549788</v>
      </c>
      <c r="Q77" s="1">
        <v>10.148519109384754</v>
      </c>
      <c r="R77" s="17"/>
      <c r="S77" s="1">
        <f>2240*0.00519335598322822</f>
        <v>11.633117402431214</v>
      </c>
      <c r="T77" s="1"/>
      <c r="U77" s="1"/>
      <c r="V77" s="17">
        <v>20</v>
      </c>
      <c r="W77" s="17"/>
      <c r="X77" s="1"/>
      <c r="Y77" s="1"/>
      <c r="Z77" s="1"/>
      <c r="AA77" s="1"/>
      <c r="AB77" s="17"/>
      <c r="AC77" s="1"/>
      <c r="AD77" s="1"/>
      <c r="AE77" s="1"/>
      <c r="AF77" s="17"/>
      <c r="AG77" s="1"/>
      <c r="AH77" s="1"/>
      <c r="AI77" s="1"/>
      <c r="AJ77" s="1"/>
      <c r="AK77" s="1"/>
      <c r="AL77" s="1">
        <v>10.015331440338924</v>
      </c>
      <c r="AM77" s="1"/>
      <c r="AN77" s="1"/>
      <c r="AO77" s="1">
        <v>9.0243902439024382</v>
      </c>
      <c r="AP77" s="1"/>
      <c r="AQ77" s="1"/>
      <c r="AR77" s="1"/>
      <c r="AS77" s="1"/>
      <c r="AT77" s="1"/>
      <c r="AU77" s="1"/>
      <c r="AV77" s="1"/>
      <c r="AW77" s="1"/>
      <c r="AX77" s="1">
        <v>12.380202179335697</v>
      </c>
      <c r="AY77" s="3"/>
      <c r="AZ77" s="1"/>
      <c r="BA77" s="17">
        <v>10.165228113440186</v>
      </c>
      <c r="BB77" s="1"/>
      <c r="BC77" s="1"/>
      <c r="BD77" s="1"/>
      <c r="BE77" s="1"/>
      <c r="BF77" s="1"/>
      <c r="BG77" s="1"/>
      <c r="BH77" s="1"/>
      <c r="BI77" s="3"/>
      <c r="BJ77" s="1">
        <f>2240*0.00797250872401173</f>
        <v>17.858419541786276</v>
      </c>
      <c r="BK77" s="1"/>
      <c r="BL77" s="1"/>
      <c r="BM77" s="1"/>
      <c r="BN77" s="1"/>
      <c r="BO77" s="1"/>
      <c r="BP77" s="1"/>
      <c r="BQ77" s="1"/>
      <c r="BR77" s="3"/>
      <c r="BS77" s="1"/>
      <c r="BT77" s="1"/>
      <c r="BU77" s="1"/>
      <c r="BV77" s="1"/>
      <c r="BW77" s="1"/>
      <c r="BX77" s="1"/>
      <c r="BY77" s="1"/>
      <c r="BZ77" s="21">
        <f>2240*0.00335899791321421</f>
        <v>7.5241553255998301</v>
      </c>
      <c r="CA77" s="1"/>
      <c r="CB77" s="3"/>
      <c r="CC77" s="21">
        <f>2240*0.00378339676645022</f>
        <v>8.4748087568484927</v>
      </c>
      <c r="CD77" s="1"/>
      <c r="CE77" s="1"/>
      <c r="CF77" s="1">
        <f>2240*0.00490332452357769</f>
        <v>10.983446932814024</v>
      </c>
      <c r="CG77" s="3"/>
      <c r="CH77" s="1"/>
      <c r="CI77" s="3">
        <f>2240*0.00405778644900026</f>
        <v>9.0894416457605818</v>
      </c>
      <c r="CJ77" s="1"/>
      <c r="CK77" s="1"/>
      <c r="CL77" s="3"/>
      <c r="CN77" s="1">
        <v>9.1110879673179781</v>
      </c>
      <c r="CO77" s="1"/>
      <c r="CP77" s="1"/>
      <c r="CQ77" s="1">
        <f>(1/112*2240)*0.506104783599089</f>
        <v>10.122095671981779</v>
      </c>
      <c r="CR77" s="1">
        <f>(1/112*2240)*0.45</f>
        <v>9</v>
      </c>
      <c r="CT77" s="1">
        <f>(1/112*2240)*0.547948164146868</f>
        <v>10.95896328293736</v>
      </c>
      <c r="CU77" s="1"/>
      <c r="CV77" s="1"/>
      <c r="CW77" s="1">
        <f>(1/112*2240)*0.538615441266724</f>
        <v>10.772308825334481</v>
      </c>
      <c r="CX77" s="1">
        <f>(1/112*2240)*0.446836268754077</f>
        <v>8.9367253750815401</v>
      </c>
      <c r="CY77" s="1"/>
      <c r="DD77" s="1">
        <v>5.0062479620664897</v>
      </c>
      <c r="DE77" s="1">
        <v>5.6534860716323223</v>
      </c>
    </row>
    <row r="78" spans="1:109" x14ac:dyDescent="0.25">
      <c r="A78" s="8">
        <f t="shared" si="4"/>
        <v>1911</v>
      </c>
      <c r="C78" s="17">
        <v>9.27</v>
      </c>
      <c r="D78" s="17">
        <v>9.7612240425888448</v>
      </c>
      <c r="E78" s="1"/>
      <c r="F78" s="17">
        <f>2240*0.00547619047619048</f>
        <v>12.266666666666675</v>
      </c>
      <c r="G78" s="17"/>
      <c r="H78" s="17"/>
      <c r="I78" s="1">
        <f>2240*0.00595238095238095</f>
        <v>13.333333333333329</v>
      </c>
      <c r="J78" s="3">
        <f>2240*0.00297610587485229</f>
        <v>6.6664771596691299</v>
      </c>
      <c r="K78" s="1"/>
      <c r="L78" s="1"/>
      <c r="M78" s="1"/>
      <c r="N78" s="1"/>
      <c r="O78" s="1"/>
      <c r="P78" s="1">
        <v>8.7918264733395688</v>
      </c>
      <c r="Q78" s="1">
        <v>9.8340637182416994</v>
      </c>
      <c r="R78" s="17"/>
      <c r="S78" s="1">
        <f>2240*0.0068865829539836</f>
        <v>15.425945816923264</v>
      </c>
      <c r="T78" s="1"/>
      <c r="U78" s="1"/>
      <c r="V78" s="17">
        <v>20</v>
      </c>
      <c r="W78" s="17"/>
      <c r="X78" s="1"/>
      <c r="Y78" s="1"/>
      <c r="Z78" s="1"/>
      <c r="AA78" s="1"/>
      <c r="AB78" s="17"/>
      <c r="AC78" s="1"/>
      <c r="AD78" s="1"/>
      <c r="AE78" s="1"/>
      <c r="AF78" s="17"/>
      <c r="AG78" s="1"/>
      <c r="AH78" s="1"/>
      <c r="AI78" s="1"/>
      <c r="AJ78" s="1"/>
      <c r="AK78" s="1"/>
      <c r="AL78" s="1">
        <v>10.585101642720639</v>
      </c>
      <c r="AM78" s="1">
        <v>3.4770514603616132</v>
      </c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7">
        <v>10.001851851851853</v>
      </c>
      <c r="BB78" s="1"/>
      <c r="BC78" s="1"/>
      <c r="BD78" s="1"/>
      <c r="BE78" s="1"/>
      <c r="BF78" s="1"/>
      <c r="BG78" s="1"/>
      <c r="BH78" s="1"/>
      <c r="BI78" s="3"/>
      <c r="BJ78" s="1">
        <f>2240*0.0100338074532089</f>
        <v>22.475728695187936</v>
      </c>
      <c r="BK78" s="1"/>
      <c r="BL78" s="1"/>
      <c r="BM78" s="1"/>
      <c r="BN78" s="1"/>
      <c r="BO78" s="1"/>
      <c r="BP78" s="1"/>
      <c r="BQ78" s="1"/>
      <c r="BR78" s="3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G78" s="1"/>
      <c r="CH78" s="1"/>
      <c r="CI78" s="1"/>
      <c r="CJ78" s="1"/>
      <c r="CK78" s="1"/>
      <c r="CL78" s="3"/>
      <c r="CN78" s="1">
        <v>9.7902429389689907</v>
      </c>
      <c r="CO78" s="1"/>
      <c r="CP78" s="1"/>
      <c r="CQ78" s="1">
        <f>(1/112*2240)*0.555382286146858</f>
        <v>11.107645722937161</v>
      </c>
      <c r="CR78" s="1"/>
      <c r="CT78" s="1">
        <f>(1/112*2240)*0.356179775280899</f>
        <v>7.1235955056179803</v>
      </c>
      <c r="CU78" s="1"/>
      <c r="CV78" s="1"/>
      <c r="CW78" s="1">
        <f>(1/112*2240)*0.52574928087594</f>
        <v>10.5149856175188</v>
      </c>
      <c r="CX78" s="1">
        <f>(1/112*2240)*0.584293807384255</f>
        <v>11.6858761476851</v>
      </c>
      <c r="CY78" s="1"/>
      <c r="DD78" s="1">
        <v>6.0283183692320117</v>
      </c>
      <c r="DE78" s="1">
        <v>7.1617688166944831</v>
      </c>
    </row>
    <row r="79" spans="1:109" x14ac:dyDescent="0.25">
      <c r="A79" s="8">
        <f t="shared" si="4"/>
        <v>1912</v>
      </c>
      <c r="C79" s="17">
        <v>11.3</v>
      </c>
      <c r="D79" s="17">
        <v>12.473587498789112</v>
      </c>
      <c r="E79" s="1"/>
      <c r="F79" s="17">
        <f>2240*0.00901300236406619</f>
        <v>20.189125295508266</v>
      </c>
      <c r="G79" s="17"/>
      <c r="H79" s="17"/>
      <c r="I79" s="1">
        <f>2240*0.00595238095238095</f>
        <v>13.333333333333329</v>
      </c>
      <c r="J79" s="3">
        <f>2240*0.00327397632313071</f>
        <v>7.3337069638127907</v>
      </c>
      <c r="K79" s="1"/>
      <c r="L79" s="1"/>
      <c r="M79" s="1"/>
      <c r="N79" s="1"/>
      <c r="O79" s="1"/>
      <c r="P79" s="1">
        <v>10.798970648185893</v>
      </c>
      <c r="Q79" s="1">
        <v>11.477137856972396</v>
      </c>
      <c r="R79" s="17"/>
      <c r="S79" s="1">
        <f>2240*0.00714285714285714</f>
        <v>15.999999999999993</v>
      </c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7"/>
      <c r="AG79" s="1"/>
      <c r="AH79" s="1"/>
      <c r="AI79" s="1"/>
      <c r="AJ79" s="1"/>
      <c r="AK79" s="1"/>
      <c r="AL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7">
        <v>9.9773684210526312</v>
      </c>
      <c r="BB79" s="1"/>
      <c r="BC79" s="1"/>
      <c r="BD79" s="1"/>
      <c r="BE79" s="1"/>
      <c r="BF79" s="1"/>
      <c r="BG79" s="1"/>
      <c r="BH79" s="1"/>
      <c r="BI79" s="1"/>
      <c r="BJ79" s="1">
        <f>2240*0.0136126155562376</f>
        <v>30.492258845972223</v>
      </c>
      <c r="BK79" s="1"/>
      <c r="BL79" s="1"/>
      <c r="BM79" s="1"/>
      <c r="BN79" s="1"/>
      <c r="BO79" s="1"/>
      <c r="BP79" s="1"/>
      <c r="BQ79" s="1"/>
      <c r="BR79" s="3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N79" s="1">
        <v>10.141817551762973</v>
      </c>
      <c r="CO79" s="1"/>
      <c r="CP79" s="1"/>
      <c r="CQ79" s="1"/>
      <c r="CR79" s="1"/>
      <c r="CS79" s="1"/>
      <c r="CT79" s="1">
        <f>(1/112*2240)*0.595788043478261</f>
        <v>11.915760869565219</v>
      </c>
      <c r="CU79" s="1"/>
      <c r="CV79" s="1"/>
      <c r="CW79" s="1">
        <f>(1/112*2240)*0.64510272555959</f>
        <v>12.9020545111918</v>
      </c>
      <c r="CX79" s="1">
        <f>(1/112*2240)*0.523524522028263</f>
        <v>10.470490440565261</v>
      </c>
      <c r="CY79" s="1"/>
      <c r="DD79" s="1">
        <v>6.9305741659106532</v>
      </c>
      <c r="DE79" s="1">
        <v>8.3753396253158368</v>
      </c>
    </row>
    <row r="80" spans="1:109" x14ac:dyDescent="0.25">
      <c r="A80" s="8">
        <f t="shared" si="4"/>
        <v>1913</v>
      </c>
      <c r="C80" s="17">
        <v>10.56</v>
      </c>
      <c r="D80" s="17">
        <v>11.782113793657098</v>
      </c>
      <c r="E80" s="1"/>
      <c r="F80" s="1"/>
      <c r="G80" s="17"/>
      <c r="H80" s="1"/>
      <c r="I80" s="1">
        <f>2240*0.00595238095238095</f>
        <v>13.333333333333329</v>
      </c>
      <c r="J80" s="1">
        <f>2240*0.00356030262572319</f>
        <v>7.9750778816199457</v>
      </c>
      <c r="L80" s="1"/>
      <c r="M80" s="1"/>
      <c r="N80" s="1"/>
      <c r="O80" s="1"/>
      <c r="P80" s="1">
        <v>9.4288302553810457</v>
      </c>
      <c r="Q80" s="1">
        <v>12.039325150768708</v>
      </c>
      <c r="R80" s="17"/>
      <c r="S80" s="1">
        <f>2240*0.00552184611301462</f>
        <v>12.368935293152749</v>
      </c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7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7">
        <v>10.033946488294315</v>
      </c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N80" s="1">
        <v>10.467568138601312</v>
      </c>
      <c r="CO80" s="1"/>
      <c r="CP80" s="1"/>
      <c r="CQ80" s="1"/>
      <c r="CR80" s="1"/>
      <c r="CS80" s="1"/>
      <c r="CU80" s="1"/>
      <c r="CV80" s="1"/>
      <c r="CX80" s="1"/>
      <c r="CY80" s="1"/>
      <c r="DD80" s="1">
        <v>7.5077055769126764</v>
      </c>
      <c r="DE80" s="1">
        <v>6.7763577880668295</v>
      </c>
    </row>
    <row r="81" spans="1:109" x14ac:dyDescent="0.25">
      <c r="A81" s="8">
        <f t="shared" si="4"/>
        <v>1914</v>
      </c>
      <c r="C81" s="17"/>
      <c r="D81" s="17">
        <v>10.796807864392488</v>
      </c>
      <c r="E81" s="1"/>
      <c r="F81" s="1"/>
      <c r="G81" s="17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7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X81" s="1"/>
      <c r="CY81" s="1"/>
      <c r="DD81" s="1">
        <v>5.1293626234694747</v>
      </c>
      <c r="DE81" s="1">
        <v>5.7118055555555562</v>
      </c>
    </row>
    <row r="82" spans="1:109" x14ac:dyDescent="0.25">
      <c r="A82" s="8">
        <f t="shared" si="4"/>
        <v>1915</v>
      </c>
      <c r="C82" s="17"/>
      <c r="D82" s="17">
        <v>11.850360161990087</v>
      </c>
      <c r="E82" s="1"/>
      <c r="F82" s="1"/>
      <c r="G82" s="17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7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X82" s="1"/>
      <c r="CY82" s="1"/>
      <c r="DD82" s="1">
        <v>5.3536185854752993</v>
      </c>
      <c r="DE82" s="1">
        <v>7.588541666666667</v>
      </c>
    </row>
    <row r="83" spans="1:109" x14ac:dyDescent="0.25">
      <c r="A83" s="8">
        <f t="shared" si="4"/>
        <v>1916</v>
      </c>
      <c r="C83" s="17"/>
      <c r="D83" s="17">
        <v>16.720349164565679</v>
      </c>
      <c r="E83" s="1"/>
      <c r="F83" s="1"/>
      <c r="G83" s="17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7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X83" s="1"/>
      <c r="CY83" s="1"/>
      <c r="DD83" s="1">
        <v>5.4676347320569336</v>
      </c>
      <c r="DE83" s="1">
        <v>8.60647627313889</v>
      </c>
    </row>
    <row r="84" spans="1:109" x14ac:dyDescent="0.25">
      <c r="A84" s="8">
        <f t="shared" si="4"/>
        <v>1917</v>
      </c>
      <c r="C84" s="17"/>
      <c r="D84" s="17">
        <v>20.354333570002964</v>
      </c>
      <c r="E84" s="1"/>
      <c r="F84" s="1"/>
      <c r="G84" s="17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7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X84" s="1"/>
      <c r="CY84" s="1"/>
      <c r="DD84" s="1">
        <v>4.9457100320785736</v>
      </c>
      <c r="DE84" s="1">
        <v>11.123263888888888</v>
      </c>
    </row>
    <row r="85" spans="1:109" x14ac:dyDescent="0.25">
      <c r="A85" s="8">
        <f t="shared" si="4"/>
        <v>1918</v>
      </c>
      <c r="C85" s="17"/>
      <c r="D85" s="17">
        <v>32.643729189789127</v>
      </c>
      <c r="E85" s="1"/>
      <c r="F85" s="1"/>
      <c r="G85" s="17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X85" s="1"/>
      <c r="CY85" s="1"/>
      <c r="DD85" s="1">
        <v>3.8787878787878789</v>
      </c>
      <c r="DE85" s="1">
        <v>11.592881944444445</v>
      </c>
    </row>
    <row r="86" spans="1:109" x14ac:dyDescent="0.25">
      <c r="A86" s="8">
        <f t="shared" si="4"/>
        <v>1919</v>
      </c>
      <c r="C86" s="17"/>
      <c r="D86" s="17">
        <v>27.625954141957074</v>
      </c>
      <c r="E86" s="1"/>
      <c r="F86" s="1"/>
      <c r="G86" s="17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X86" s="1"/>
      <c r="CY86" s="1"/>
      <c r="DD86" s="1">
        <v>6.2622874701322644</v>
      </c>
      <c r="DE86" s="1">
        <v>14.801118026740433</v>
      </c>
    </row>
    <row r="87" spans="1:109" x14ac:dyDescent="0.25">
      <c r="A87" s="8">
        <f t="shared" si="4"/>
        <v>1920</v>
      </c>
      <c r="C87" s="17"/>
      <c r="D87" s="17">
        <v>43.575690247028042</v>
      </c>
      <c r="E87" s="1"/>
      <c r="F87" s="1"/>
      <c r="G87" s="17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X87" s="1"/>
      <c r="CY87" s="1"/>
      <c r="DD87" s="1">
        <v>8.8332105831042433</v>
      </c>
      <c r="DE87" s="1">
        <v>15.533351117189225</v>
      </c>
    </row>
    <row r="88" spans="1:109" x14ac:dyDescent="0.25">
      <c r="A88" s="8">
        <f t="shared" si="4"/>
        <v>1921</v>
      </c>
      <c r="C88" s="17"/>
      <c r="D88" s="17"/>
      <c r="E88" s="1"/>
      <c r="F88" s="1"/>
      <c r="G88" s="17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DD88" s="1">
        <v>6.9042376893939386</v>
      </c>
      <c r="DE88" s="1">
        <v>12.822916666666668</v>
      </c>
    </row>
    <row r="89" spans="1:109" x14ac:dyDescent="0.25">
      <c r="A89" s="8">
        <f t="shared" si="4"/>
        <v>1922</v>
      </c>
      <c r="C89" s="17"/>
      <c r="D89" s="17"/>
      <c r="E89" s="1"/>
      <c r="F89" s="1"/>
      <c r="G89" s="17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DD89" s="1">
        <v>6.4655539772727275</v>
      </c>
    </row>
    <row r="90" spans="1:109" x14ac:dyDescent="0.25">
      <c r="A90" s="8">
        <f t="shared" si="4"/>
        <v>1923</v>
      </c>
      <c r="C90" s="17"/>
      <c r="D90" s="17"/>
      <c r="E90" s="1"/>
      <c r="F90" s="1"/>
      <c r="G90" s="17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DD90" s="1">
        <v>5.5517578125</v>
      </c>
    </row>
    <row r="91" spans="1:109" x14ac:dyDescent="0.25">
      <c r="A91" s="8">
        <f t="shared" si="4"/>
        <v>1924</v>
      </c>
      <c r="C91" s="17"/>
      <c r="D91" s="17"/>
      <c r="E91" s="1"/>
      <c r="F91" s="1"/>
      <c r="G91" s="17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DD91" s="1">
        <v>5.856001420454545</v>
      </c>
    </row>
    <row r="92" spans="1:109" x14ac:dyDescent="0.25">
      <c r="A92" s="8">
        <f t="shared" si="4"/>
        <v>1925</v>
      </c>
      <c r="C92" s="17"/>
      <c r="D92" s="17"/>
      <c r="E92" s="1"/>
      <c r="F92" s="1"/>
      <c r="G92" s="17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DD92" s="1">
        <v>6.9208984375</v>
      </c>
    </row>
    <row r="93" spans="1:109" x14ac:dyDescent="0.25">
      <c r="A93" s="8">
        <f t="shared" si="4"/>
        <v>1926</v>
      </c>
      <c r="C93" s="17"/>
      <c r="D93" s="17"/>
      <c r="E93" s="1"/>
      <c r="F93" s="1"/>
      <c r="G93" s="17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DD93" s="1">
        <v>6.7086292613636367</v>
      </c>
    </row>
    <row r="94" spans="1:109" x14ac:dyDescent="0.25">
      <c r="A94" s="8">
        <f t="shared" si="4"/>
        <v>1927</v>
      </c>
      <c r="C94" s="17"/>
      <c r="D94" s="17"/>
      <c r="E94" s="1"/>
      <c r="F94" s="1"/>
      <c r="G94" s="17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DD94" s="1">
        <v>6.826704545454545</v>
      </c>
    </row>
    <row r="95" spans="1:109" x14ac:dyDescent="0.25">
      <c r="A95" s="8">
        <f t="shared" si="4"/>
        <v>1928</v>
      </c>
      <c r="C95" s="17"/>
      <c r="D95" s="17"/>
      <c r="E95" s="1"/>
      <c r="F95" s="1"/>
      <c r="G95" s="17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DD95" s="1">
        <v>6.5878462357954541</v>
      </c>
    </row>
    <row r="96" spans="1:109" x14ac:dyDescent="0.25">
      <c r="A96" s="8">
        <f t="shared" si="4"/>
        <v>1929</v>
      </c>
      <c r="C96" s="17"/>
      <c r="D96" s="17"/>
      <c r="E96" s="1"/>
      <c r="F96" s="1"/>
      <c r="G96" s="17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DD96" s="1">
        <v>5.8700284090909083</v>
      </c>
    </row>
    <row r="97" spans="1:108" x14ac:dyDescent="0.25">
      <c r="A97" s="8">
        <f t="shared" si="4"/>
        <v>1930</v>
      </c>
      <c r="C97" s="17"/>
      <c r="D97" s="17"/>
      <c r="E97" s="1"/>
      <c r="F97" s="1"/>
      <c r="G97" s="17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DD97" s="1">
        <v>5.1653993983957207</v>
      </c>
    </row>
    <row r="98" spans="1:108" x14ac:dyDescent="0.25">
      <c r="A98" s="8">
        <f t="shared" si="4"/>
        <v>1931</v>
      </c>
      <c r="C98" s="17"/>
      <c r="D98" s="17"/>
      <c r="E98" s="1"/>
      <c r="F98" s="1"/>
      <c r="G98" s="17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DD98" s="1">
        <v>3.5011280080213893</v>
      </c>
    </row>
    <row r="99" spans="1:108" x14ac:dyDescent="0.25">
      <c r="A99" s="8">
        <f t="shared" si="4"/>
        <v>1932</v>
      </c>
      <c r="C99" s="17"/>
      <c r="D99" s="17"/>
      <c r="E99" s="1"/>
      <c r="F99" s="1"/>
      <c r="G99" s="17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</row>
    <row r="100" spans="1:108" x14ac:dyDescent="0.25">
      <c r="A100" s="8">
        <f t="shared" si="4"/>
        <v>1933</v>
      </c>
      <c r="C100" s="17"/>
      <c r="D100" s="17"/>
      <c r="E100" s="1"/>
      <c r="F100" s="1"/>
      <c r="G100" s="17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</row>
    <row r="101" spans="1:108" x14ac:dyDescent="0.25">
      <c r="A101" s="8">
        <f t="shared" si="4"/>
        <v>1934</v>
      </c>
      <c r="C101" s="17"/>
      <c r="D101" s="17"/>
      <c r="E101" s="1"/>
      <c r="F101" s="1"/>
      <c r="G101" s="17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</row>
    <row r="102" spans="1:108" x14ac:dyDescent="0.25">
      <c r="A102" s="8">
        <f t="shared" si="4"/>
        <v>1935</v>
      </c>
      <c r="C102" s="17"/>
      <c r="D102" s="17"/>
      <c r="E102" s="1"/>
      <c r="F102" s="1"/>
      <c r="G102" s="17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</row>
    <row r="103" spans="1:108" x14ac:dyDescent="0.25">
      <c r="A103" s="8">
        <f t="shared" si="4"/>
        <v>1936</v>
      </c>
      <c r="C103" s="17"/>
      <c r="D103" s="17"/>
      <c r="E103" s="1"/>
      <c r="F103" s="1"/>
      <c r="G103" s="17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</row>
    <row r="104" spans="1:108" x14ac:dyDescent="0.25">
      <c r="A104" s="8">
        <f t="shared" ref="A104:A135" si="5">A103+1</f>
        <v>1937</v>
      </c>
      <c r="C104" s="17"/>
      <c r="D104" s="17"/>
      <c r="E104" s="1"/>
      <c r="F104" s="1"/>
      <c r="G104" s="17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</row>
    <row r="105" spans="1:108" x14ac:dyDescent="0.25">
      <c r="A105" s="8">
        <f t="shared" si="5"/>
        <v>1938</v>
      </c>
      <c r="C105" s="17"/>
      <c r="D105" s="17"/>
      <c r="E105" s="1"/>
      <c r="F105" s="1"/>
      <c r="G105" s="17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</row>
    <row r="106" spans="1:108" x14ac:dyDescent="0.25">
      <c r="A106" s="8">
        <f t="shared" si="5"/>
        <v>1939</v>
      </c>
      <c r="C106" s="17"/>
      <c r="D106" s="17"/>
      <c r="E106" s="1"/>
      <c r="F106" s="1"/>
      <c r="G106" s="17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</row>
    <row r="107" spans="1:108" x14ac:dyDescent="0.25">
      <c r="A107" s="8">
        <f t="shared" si="5"/>
        <v>1940</v>
      </c>
      <c r="C107" s="17"/>
      <c r="D107" s="1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</row>
    <row r="108" spans="1:108" x14ac:dyDescent="0.25">
      <c r="A108" s="8">
        <f t="shared" si="5"/>
        <v>1941</v>
      </c>
      <c r="C108" s="17"/>
      <c r="D108" s="1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</row>
    <row r="109" spans="1:108" x14ac:dyDescent="0.25">
      <c r="A109" s="8">
        <f t="shared" si="5"/>
        <v>1942</v>
      </c>
      <c r="C109" s="17"/>
      <c r="D109" s="1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</row>
    <row r="110" spans="1:108" x14ac:dyDescent="0.25">
      <c r="A110" s="8">
        <f t="shared" si="5"/>
        <v>1943</v>
      </c>
      <c r="C110" s="17"/>
      <c r="D110" s="1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</row>
    <row r="111" spans="1:108" x14ac:dyDescent="0.25">
      <c r="A111" s="8">
        <f t="shared" si="5"/>
        <v>1944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</row>
    <row r="112" spans="1:108" x14ac:dyDescent="0.25">
      <c r="A112" s="8">
        <f t="shared" si="5"/>
        <v>1945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</row>
    <row r="113" spans="1:103" x14ac:dyDescent="0.25">
      <c r="A113" s="8">
        <f t="shared" si="5"/>
        <v>1946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</row>
    <row r="114" spans="1:103" x14ac:dyDescent="0.25">
      <c r="A114" s="8">
        <f t="shared" si="5"/>
        <v>1947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</row>
    <row r="115" spans="1:103" x14ac:dyDescent="0.25">
      <c r="A115" s="8">
        <f t="shared" si="5"/>
        <v>1948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</row>
    <row r="116" spans="1:103" x14ac:dyDescent="0.25">
      <c r="A116" s="8">
        <f t="shared" si="5"/>
        <v>1949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</row>
    <row r="117" spans="1:103" x14ac:dyDescent="0.25">
      <c r="A117" s="8">
        <f t="shared" si="5"/>
        <v>1950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</row>
    <row r="118" spans="1:103" x14ac:dyDescent="0.25">
      <c r="A118" s="8">
        <f t="shared" si="5"/>
        <v>1951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</row>
    <row r="119" spans="1:103" x14ac:dyDescent="0.25">
      <c r="A119" s="8">
        <f t="shared" si="5"/>
        <v>1952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</row>
    <row r="120" spans="1:103" x14ac:dyDescent="0.25">
      <c r="A120" s="8">
        <f t="shared" si="5"/>
        <v>1953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</row>
    <row r="121" spans="1:103" x14ac:dyDescent="0.25">
      <c r="A121" s="8">
        <f t="shared" si="5"/>
        <v>1954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</row>
    <row r="122" spans="1:103" x14ac:dyDescent="0.25">
      <c r="A122" s="8">
        <f t="shared" si="5"/>
        <v>1955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</row>
    <row r="123" spans="1:103" x14ac:dyDescent="0.25">
      <c r="A123" s="8">
        <f t="shared" si="5"/>
        <v>1956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</row>
    <row r="124" spans="1:103" x14ac:dyDescent="0.25">
      <c r="A124" s="8">
        <f t="shared" si="5"/>
        <v>1957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</row>
    <row r="125" spans="1:103" x14ac:dyDescent="0.25">
      <c r="A125" s="8">
        <f t="shared" si="5"/>
        <v>1958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</row>
    <row r="126" spans="1:103" x14ac:dyDescent="0.25">
      <c r="A126" s="8">
        <f t="shared" si="5"/>
        <v>1959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</row>
    <row r="127" spans="1:103" x14ac:dyDescent="0.25">
      <c r="A127" s="8">
        <f t="shared" si="5"/>
        <v>1960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</row>
    <row r="128" spans="1:103" x14ac:dyDescent="0.25">
      <c r="A128" s="8">
        <f t="shared" si="5"/>
        <v>1961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</row>
    <row r="129" spans="1:103" x14ac:dyDescent="0.25">
      <c r="A129" s="8">
        <f t="shared" si="5"/>
        <v>1962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</row>
    <row r="130" spans="1:103" x14ac:dyDescent="0.25">
      <c r="A130" s="8">
        <f t="shared" si="5"/>
        <v>1963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</row>
    <row r="131" spans="1:103" x14ac:dyDescent="0.25">
      <c r="A131" s="8">
        <f t="shared" si="5"/>
        <v>1964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</row>
    <row r="132" spans="1:103" x14ac:dyDescent="0.25">
      <c r="A132" s="8">
        <f t="shared" si="5"/>
        <v>1965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</row>
    <row r="133" spans="1:103" x14ac:dyDescent="0.25">
      <c r="A133" s="8">
        <f t="shared" si="5"/>
        <v>1966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</row>
    <row r="134" spans="1:103" x14ac:dyDescent="0.25">
      <c r="A134" s="8">
        <f t="shared" si="5"/>
        <v>1967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</row>
    <row r="135" spans="1:103" x14ac:dyDescent="0.25">
      <c r="A135" s="8">
        <f t="shared" si="5"/>
        <v>1968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</row>
    <row r="136" spans="1:103" x14ac:dyDescent="0.25">
      <c r="A136" s="8">
        <f t="shared" ref="A136:A145" si="6">A135+1</f>
        <v>1969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</row>
    <row r="137" spans="1:103" x14ac:dyDescent="0.25">
      <c r="A137" s="8">
        <f t="shared" si="6"/>
        <v>1970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</row>
    <row r="138" spans="1:103" x14ac:dyDescent="0.25">
      <c r="A138" s="8">
        <f t="shared" si="6"/>
        <v>1971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</row>
    <row r="139" spans="1:103" x14ac:dyDescent="0.25">
      <c r="A139" s="8">
        <f t="shared" si="6"/>
        <v>1972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</row>
    <row r="140" spans="1:103" x14ac:dyDescent="0.25">
      <c r="A140" s="8">
        <f t="shared" si="6"/>
        <v>1973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</row>
    <row r="141" spans="1:103" x14ac:dyDescent="0.25">
      <c r="A141" s="8">
        <f t="shared" si="6"/>
        <v>1974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</row>
    <row r="142" spans="1:103" x14ac:dyDescent="0.25">
      <c r="A142" s="8">
        <f t="shared" si="6"/>
        <v>1975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</row>
    <row r="143" spans="1:103" x14ac:dyDescent="0.25">
      <c r="A143" s="8">
        <f t="shared" si="6"/>
        <v>1976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</row>
    <row r="144" spans="1:103" x14ac:dyDescent="0.25">
      <c r="A144" s="8">
        <f t="shared" si="6"/>
        <v>1977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</row>
    <row r="145" spans="1:103" x14ac:dyDescent="0.25">
      <c r="A145" s="8">
        <f t="shared" si="6"/>
        <v>1978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</row>
    <row r="146" spans="1:103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</row>
    <row r="147" spans="1:103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</row>
    <row r="148" spans="1:103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</row>
    <row r="149" spans="1:103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</row>
    <row r="150" spans="1:103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</row>
    <row r="151" spans="1:103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</row>
    <row r="152" spans="1:103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</row>
    <row r="153" spans="1:103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</row>
    <row r="154" spans="1:103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T154" s="1"/>
      <c r="CU154" s="1"/>
      <c r="CV154" s="1"/>
      <c r="CW154" s="1"/>
      <c r="CX154" s="1"/>
    </row>
    <row r="155" spans="1:103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T155" s="1"/>
      <c r="CU155" s="1"/>
      <c r="CV155" s="1"/>
      <c r="CW155" s="1"/>
      <c r="CX155" s="1"/>
    </row>
    <row r="156" spans="1:103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T156" s="1"/>
      <c r="CU156" s="1"/>
      <c r="CV156" s="1"/>
      <c r="CW156" s="1"/>
      <c r="CX156" s="1"/>
    </row>
    <row r="157" spans="1:103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T157" s="1"/>
      <c r="CU157" s="1"/>
      <c r="CV157" s="1"/>
      <c r="CW157" s="1"/>
      <c r="CX157" s="1"/>
    </row>
    <row r="158" spans="1:103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T158" s="1"/>
      <c r="CU158" s="1"/>
      <c r="CV158" s="1"/>
      <c r="CW158" s="1"/>
      <c r="CX158" s="1"/>
    </row>
    <row r="159" spans="1:103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T159" s="1"/>
      <c r="CU159" s="1"/>
      <c r="CV159" s="1"/>
      <c r="CW159" s="1"/>
      <c r="CX159" s="1"/>
    </row>
    <row r="160" spans="1:103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T160" s="1"/>
      <c r="CU160" s="1"/>
      <c r="CV160" s="1"/>
      <c r="CW160" s="1"/>
      <c r="CX160" s="1"/>
    </row>
    <row r="161" spans="3:103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T161" s="1"/>
      <c r="CU161" s="1"/>
      <c r="CV161" s="1"/>
      <c r="CW161" s="1"/>
      <c r="CX161" s="1"/>
    </row>
    <row r="162" spans="3:103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T162" s="1"/>
      <c r="CU162" s="1"/>
      <c r="CV162" s="1"/>
      <c r="CW162" s="1"/>
      <c r="CX162" s="1"/>
    </row>
    <row r="163" spans="3:103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T163" s="1"/>
      <c r="CU163" s="1"/>
      <c r="CV163" s="1"/>
      <c r="CW163" s="1"/>
      <c r="CX163" s="1"/>
    </row>
    <row r="164" spans="3:103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T164" s="1"/>
      <c r="CU164" s="1"/>
      <c r="CV164" s="1"/>
      <c r="CW164" s="1"/>
      <c r="CX164" s="1"/>
    </row>
    <row r="165" spans="3:103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T165" s="1"/>
      <c r="CU165" s="1"/>
      <c r="CV165" s="1"/>
      <c r="CW165" s="1"/>
      <c r="CX165" s="1"/>
    </row>
    <row r="166" spans="3:103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T166" s="1"/>
      <c r="CU166" s="1"/>
      <c r="CV166" s="1"/>
      <c r="CW166" s="1"/>
      <c r="CX166" s="1"/>
    </row>
    <row r="167" spans="3:103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</row>
    <row r="168" spans="3:103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3:103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3:103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3:103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</row>
    <row r="172" spans="3:103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</row>
    <row r="173" spans="3:103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</row>
    <row r="174" spans="3:103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</row>
    <row r="175" spans="3:103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</row>
    <row r="176" spans="3:103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</row>
    <row r="177" spans="3:103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</row>
    <row r="178" spans="3:103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</row>
    <row r="179" spans="3:103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</row>
    <row r="180" spans="3:103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</row>
    <row r="181" spans="3:103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</row>
    <row r="182" spans="3:103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</row>
    <row r="183" spans="3:103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</row>
    <row r="184" spans="3:103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</row>
    <row r="185" spans="3:103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</row>
    <row r="186" spans="3:103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</row>
    <row r="187" spans="3:103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</row>
    <row r="188" spans="3:103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</row>
    <row r="189" spans="3:103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</row>
    <row r="190" spans="3:103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</row>
    <row r="191" spans="3:103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</row>
    <row r="192" spans="3:103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</row>
    <row r="193" spans="3:103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</row>
    <row r="194" spans="3:103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</row>
    <row r="195" spans="3:103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</row>
    <row r="196" spans="3:103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</row>
    <row r="197" spans="3:103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</row>
    <row r="198" spans="3:103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</row>
    <row r="199" spans="3:103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</row>
    <row r="200" spans="3:103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</row>
    <row r="201" spans="3:103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</row>
    <row r="202" spans="3:103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</row>
    <row r="203" spans="3:103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</row>
    <row r="204" spans="3:103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</row>
    <row r="205" spans="3:103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</row>
    <row r="206" spans="3:103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</row>
    <row r="207" spans="3:103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</row>
    <row r="208" spans="3:103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</row>
    <row r="209" spans="3:103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</row>
    <row r="210" spans="3:103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</row>
    <row r="211" spans="3:103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</row>
    <row r="212" spans="3:103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</row>
    <row r="213" spans="3:103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</row>
    <row r="214" spans="3:103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</row>
    <row r="215" spans="3:103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</row>
    <row r="216" spans="3:103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</row>
    <row r="217" spans="3:103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</row>
    <row r="218" spans="3:103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</row>
    <row r="219" spans="3:103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</row>
    <row r="220" spans="3:103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</row>
    <row r="221" spans="3:103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</row>
    <row r="222" spans="3:103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</row>
    <row r="223" spans="3:103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</row>
    <row r="224" spans="3:103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</row>
    <row r="225" spans="3:103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</row>
    <row r="226" spans="3:103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</row>
    <row r="227" spans="3:103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</row>
    <row r="228" spans="3:103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</row>
    <row r="229" spans="3:103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</row>
    <row r="230" spans="3:103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</row>
    <row r="231" spans="3:103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</row>
    <row r="232" spans="3:103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</row>
    <row r="233" spans="3:103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</row>
    <row r="234" spans="3:103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</row>
    <row r="235" spans="3:103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</row>
    <row r="236" spans="3:103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</row>
    <row r="237" spans="3:103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</row>
    <row r="238" spans="3:103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</row>
    <row r="239" spans="3:103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</row>
    <row r="240" spans="3:103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</row>
    <row r="241" spans="3:103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</row>
    <row r="242" spans="3:103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</row>
    <row r="243" spans="3:103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</row>
    <row r="244" spans="3:103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</row>
    <row r="245" spans="3:103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</row>
    <row r="246" spans="3:103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</row>
    <row r="247" spans="3:103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</row>
    <row r="248" spans="3:103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</row>
    <row r="249" spans="3:103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</row>
    <row r="250" spans="3:103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</row>
    <row r="251" spans="3:103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</row>
    <row r="252" spans="3:103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</row>
    <row r="253" spans="3:103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</row>
    <row r="254" spans="3:103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</row>
    <row r="255" spans="3:103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</row>
    <row r="256" spans="3:103" x14ac:dyDescent="0.2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</row>
    <row r="257" spans="3:103" x14ac:dyDescent="0.2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</row>
    <row r="258" spans="3:103" x14ac:dyDescent="0.2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</row>
    <row r="259" spans="3:103" x14ac:dyDescent="0.2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</row>
    <row r="260" spans="3:103" x14ac:dyDescent="0.2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</row>
    <row r="261" spans="3:103" x14ac:dyDescent="0.2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</row>
    <row r="262" spans="3:103" x14ac:dyDescent="0.2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</row>
  </sheetData>
  <sortState ref="AG21:AH30">
    <sortCondition ref="AG154:AG163"/>
  </sortState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K296"/>
  <sheetViews>
    <sheetView topLeftCell="A915" zoomScale="40" zoomScaleNormal="40" zoomScaleSheetLayoutView="30" workbookViewId="0">
      <selection activeCell="AK964" sqref="AK964"/>
    </sheetView>
  </sheetViews>
  <sheetFormatPr defaultRowHeight="13.2" x14ac:dyDescent="0.25"/>
  <sheetData>
    <row r="296" spans="37:37" x14ac:dyDescent="0.25">
      <c r="AK296" t="s">
        <v>51</v>
      </c>
    </row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showZeros="0" zoomScale="50" zoomScaleNormal="50" workbookViewId="0">
      <selection activeCell="X72" sqref="X72"/>
    </sheetView>
  </sheetViews>
  <sheetFormatPr defaultRowHeight="13.2" x14ac:dyDescent="0.25"/>
  <sheetData/>
  <pageMargins left="0.7" right="0.7" top="0.75" bottom="0.75" header="0.3" footer="0.3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T262"/>
  <sheetViews>
    <sheetView zoomScale="60" zoomScaleNormal="60" workbookViewId="0">
      <pane xSplit="2" ySplit="5" topLeftCell="C7" activePane="bottomRight" state="frozen"/>
      <selection activeCell="CE20" sqref="CE20"/>
      <selection pane="topRight" activeCell="CE20" sqref="CE20"/>
      <selection pane="bottomLeft" activeCell="CE20" sqref="CE20"/>
      <selection pane="bottomRight" activeCell="AK78" sqref="AK78"/>
    </sheetView>
  </sheetViews>
  <sheetFormatPr defaultRowHeight="13.2" x14ac:dyDescent="0.25"/>
  <cols>
    <col min="2" max="2" width="12.33203125" bestFit="1" customWidth="1"/>
    <col min="3" max="3" width="12" customWidth="1"/>
    <col min="4" max="4" width="15.77734375" customWidth="1"/>
    <col min="5" max="15" width="12" customWidth="1"/>
    <col min="16" max="16" width="11.33203125" customWidth="1"/>
    <col min="17" max="20" width="12" customWidth="1"/>
    <col min="21" max="22" width="13.77734375" customWidth="1"/>
    <col min="23" max="23" width="13.44140625" customWidth="1"/>
    <col min="24" max="40" width="12" customWidth="1"/>
    <col min="41" max="41" width="12.88671875" customWidth="1"/>
    <col min="42" max="42" width="13.33203125" customWidth="1"/>
    <col min="43" max="44" width="12" customWidth="1"/>
    <col min="45" max="46" width="12.77734375" customWidth="1"/>
  </cols>
  <sheetData>
    <row r="1" spans="1:46" s="14" customFormat="1" x14ac:dyDescent="0.25"/>
    <row r="2" spans="1:46" s="2" customFormat="1" ht="39" customHeight="1" x14ac:dyDescent="0.25">
      <c r="B2" s="5" t="s">
        <v>29</v>
      </c>
      <c r="C2" s="7" t="s">
        <v>1</v>
      </c>
      <c r="D2" s="7" t="s">
        <v>1</v>
      </c>
      <c r="E2" s="7" t="s">
        <v>0</v>
      </c>
      <c r="F2" s="7" t="s">
        <v>0</v>
      </c>
      <c r="G2" s="7" t="s">
        <v>0</v>
      </c>
      <c r="H2" s="7" t="s">
        <v>24</v>
      </c>
      <c r="I2" s="7" t="s">
        <v>24</v>
      </c>
      <c r="J2" s="7" t="s">
        <v>24</v>
      </c>
      <c r="K2" s="7" t="s">
        <v>25</v>
      </c>
      <c r="L2" s="7" t="s">
        <v>41</v>
      </c>
      <c r="M2" s="7" t="s">
        <v>41</v>
      </c>
      <c r="N2" s="7" t="s">
        <v>26</v>
      </c>
      <c r="O2" s="7" t="s">
        <v>26</v>
      </c>
      <c r="P2" s="7" t="s">
        <v>26</v>
      </c>
      <c r="Q2" s="7" t="s">
        <v>2</v>
      </c>
      <c r="R2" s="7" t="s">
        <v>4</v>
      </c>
      <c r="S2" s="7" t="s">
        <v>11</v>
      </c>
      <c r="T2" s="7" t="s">
        <v>11</v>
      </c>
      <c r="U2" s="7" t="s">
        <v>12</v>
      </c>
      <c r="V2" s="7" t="s">
        <v>12</v>
      </c>
      <c r="W2" s="7" t="s">
        <v>28</v>
      </c>
      <c r="X2" s="7" t="s">
        <v>37</v>
      </c>
      <c r="Y2" s="7" t="s">
        <v>37</v>
      </c>
      <c r="Z2" s="7" t="s">
        <v>3</v>
      </c>
      <c r="AA2" s="7" t="s">
        <v>9</v>
      </c>
      <c r="AB2" s="7" t="s">
        <v>20</v>
      </c>
      <c r="AC2" s="7" t="s">
        <v>15</v>
      </c>
      <c r="AD2" s="7" t="s">
        <v>49</v>
      </c>
      <c r="AE2" s="7" t="s">
        <v>16</v>
      </c>
      <c r="AF2" s="7" t="s">
        <v>16</v>
      </c>
      <c r="AG2" s="7" t="s">
        <v>54</v>
      </c>
      <c r="AH2" s="7" t="s">
        <v>19</v>
      </c>
      <c r="AI2" s="7" t="s">
        <v>21</v>
      </c>
      <c r="AJ2" s="7" t="s">
        <v>22</v>
      </c>
      <c r="AK2" s="7" t="s">
        <v>23</v>
      </c>
      <c r="AL2" s="7" t="s">
        <v>5</v>
      </c>
      <c r="AM2" s="7" t="s">
        <v>27</v>
      </c>
      <c r="AN2" s="7" t="s">
        <v>27</v>
      </c>
      <c r="AO2" s="7" t="s">
        <v>13</v>
      </c>
      <c r="AP2" s="7" t="s">
        <v>13</v>
      </c>
      <c r="AQ2" s="7" t="s">
        <v>14</v>
      </c>
      <c r="AR2" s="7" t="s">
        <v>14</v>
      </c>
      <c r="AS2" s="7" t="s">
        <v>57</v>
      </c>
      <c r="AT2" s="7" t="s">
        <v>57</v>
      </c>
    </row>
    <row r="3" spans="1:46" x14ac:dyDescent="0.25">
      <c r="B3" s="5" t="s">
        <v>31</v>
      </c>
      <c r="C3" s="7" t="s">
        <v>52</v>
      </c>
      <c r="D3" s="7" t="s">
        <v>52</v>
      </c>
      <c r="E3" s="7" t="s">
        <v>52</v>
      </c>
      <c r="F3" s="7" t="s">
        <v>52</v>
      </c>
      <c r="G3" s="7" t="s">
        <v>52</v>
      </c>
      <c r="H3" s="7" t="s">
        <v>52</v>
      </c>
      <c r="I3" s="7" t="s">
        <v>52</v>
      </c>
      <c r="J3" s="7" t="s">
        <v>52</v>
      </c>
      <c r="K3" s="7" t="s">
        <v>52</v>
      </c>
      <c r="L3" s="7" t="s">
        <v>52</v>
      </c>
      <c r="M3" s="7" t="s">
        <v>52</v>
      </c>
      <c r="N3" s="7" t="s">
        <v>52</v>
      </c>
      <c r="O3" s="7" t="s">
        <v>52</v>
      </c>
      <c r="P3" s="7" t="s">
        <v>52</v>
      </c>
      <c r="Q3" s="7" t="s">
        <v>52</v>
      </c>
      <c r="R3" s="7" t="s">
        <v>52</v>
      </c>
      <c r="S3" s="7" t="s">
        <v>52</v>
      </c>
      <c r="T3" s="7" t="s">
        <v>52</v>
      </c>
      <c r="U3" s="7" t="s">
        <v>52</v>
      </c>
      <c r="V3" s="7" t="s">
        <v>52</v>
      </c>
      <c r="W3" s="7" t="s">
        <v>52</v>
      </c>
      <c r="X3" s="7" t="s">
        <v>52</v>
      </c>
      <c r="Y3" s="7" t="s">
        <v>52</v>
      </c>
      <c r="Z3" s="7" t="s">
        <v>52</v>
      </c>
      <c r="AA3" s="7" t="s">
        <v>52</v>
      </c>
      <c r="AB3" s="7" t="s">
        <v>52</v>
      </c>
      <c r="AC3" s="7" t="s">
        <v>52</v>
      </c>
      <c r="AD3" s="7" t="s">
        <v>52</v>
      </c>
      <c r="AE3" s="7" t="s">
        <v>52</v>
      </c>
      <c r="AF3" s="7" t="s">
        <v>52</v>
      </c>
      <c r="AG3" s="7" t="s">
        <v>52</v>
      </c>
      <c r="AH3" s="7" t="s">
        <v>52</v>
      </c>
      <c r="AI3" s="7" t="s">
        <v>52</v>
      </c>
      <c r="AJ3" s="7" t="s">
        <v>52</v>
      </c>
      <c r="AK3" s="7" t="s">
        <v>52</v>
      </c>
      <c r="AL3" s="7" t="s">
        <v>52</v>
      </c>
      <c r="AM3" s="7" t="s">
        <v>52</v>
      </c>
      <c r="AN3" s="7" t="s">
        <v>52</v>
      </c>
      <c r="AO3" s="7" t="s">
        <v>52</v>
      </c>
      <c r="AP3" s="7" t="s">
        <v>52</v>
      </c>
      <c r="AQ3" s="7" t="s">
        <v>52</v>
      </c>
      <c r="AR3" s="7" t="s">
        <v>52</v>
      </c>
      <c r="AS3" s="7" t="s">
        <v>52</v>
      </c>
      <c r="AT3" s="7" t="s">
        <v>52</v>
      </c>
    </row>
    <row r="4" spans="1:46" s="2" customFormat="1" ht="27" customHeight="1" x14ac:dyDescent="0.25">
      <c r="B4" s="5" t="s">
        <v>30</v>
      </c>
      <c r="C4" s="5" t="s">
        <v>8</v>
      </c>
      <c r="D4" s="5" t="s">
        <v>53</v>
      </c>
      <c r="E4" s="5" t="s">
        <v>8</v>
      </c>
      <c r="F4" s="7" t="s">
        <v>7</v>
      </c>
      <c r="G4" s="5" t="s">
        <v>10</v>
      </c>
      <c r="H4" s="5" t="s">
        <v>8</v>
      </c>
      <c r="I4" s="5" t="s">
        <v>7</v>
      </c>
      <c r="J4" s="5" t="s">
        <v>10</v>
      </c>
      <c r="K4" s="5" t="s">
        <v>8</v>
      </c>
      <c r="L4" s="5" t="s">
        <v>7</v>
      </c>
      <c r="M4" s="5" t="s">
        <v>10</v>
      </c>
      <c r="N4" s="5" t="s">
        <v>8</v>
      </c>
      <c r="O4" s="5" t="s">
        <v>7</v>
      </c>
      <c r="P4" s="5" t="s">
        <v>10</v>
      </c>
      <c r="Q4" s="5" t="s">
        <v>8</v>
      </c>
      <c r="R4" s="5" t="s">
        <v>8</v>
      </c>
      <c r="S4" s="5" t="s">
        <v>8</v>
      </c>
      <c r="T4" s="5" t="s">
        <v>7</v>
      </c>
      <c r="U4" s="5" t="s">
        <v>8</v>
      </c>
      <c r="V4" s="5" t="s">
        <v>7</v>
      </c>
      <c r="W4" s="5" t="s">
        <v>8</v>
      </c>
      <c r="X4" s="5" t="s">
        <v>7</v>
      </c>
      <c r="Y4" s="5" t="s">
        <v>10</v>
      </c>
      <c r="Z4" s="5" t="s">
        <v>8</v>
      </c>
      <c r="AA4" s="5" t="s">
        <v>8</v>
      </c>
      <c r="AB4" s="5" t="s">
        <v>10</v>
      </c>
      <c r="AC4" s="5" t="s">
        <v>8</v>
      </c>
      <c r="AD4" s="5" t="s">
        <v>8</v>
      </c>
      <c r="AE4" s="5" t="s">
        <v>7</v>
      </c>
      <c r="AF4" s="5" t="s">
        <v>10</v>
      </c>
      <c r="AG4" s="5" t="s">
        <v>7</v>
      </c>
      <c r="AH4" s="5" t="s">
        <v>10</v>
      </c>
      <c r="AI4" s="5" t="s">
        <v>7</v>
      </c>
      <c r="AJ4" s="5" t="s">
        <v>7</v>
      </c>
      <c r="AK4" s="5" t="s">
        <v>7</v>
      </c>
      <c r="AL4" s="5" t="s">
        <v>8</v>
      </c>
      <c r="AM4" s="5" t="s">
        <v>8</v>
      </c>
      <c r="AN4" s="5" t="s">
        <v>7</v>
      </c>
      <c r="AO4" s="5" t="s">
        <v>8</v>
      </c>
      <c r="AP4" s="5" t="s">
        <v>7</v>
      </c>
      <c r="AQ4" s="5" t="s">
        <v>8</v>
      </c>
      <c r="AR4" s="5" t="s">
        <v>7</v>
      </c>
      <c r="AS4" s="5" t="s">
        <v>7</v>
      </c>
      <c r="AT4" s="5" t="s">
        <v>58</v>
      </c>
    </row>
    <row r="5" spans="1:46" s="9" customFormat="1" x14ac:dyDescent="0.25">
      <c r="A5" s="4" t="s">
        <v>33</v>
      </c>
      <c r="B5" s="4" t="s">
        <v>32</v>
      </c>
      <c r="C5" s="6" t="s">
        <v>50</v>
      </c>
      <c r="D5" s="6" t="s">
        <v>50</v>
      </c>
      <c r="E5" s="6" t="s">
        <v>50</v>
      </c>
      <c r="F5" s="6" t="s">
        <v>50</v>
      </c>
      <c r="G5" s="6" t="s">
        <v>50</v>
      </c>
      <c r="H5" s="6" t="s">
        <v>50</v>
      </c>
      <c r="I5" s="6" t="s">
        <v>50</v>
      </c>
      <c r="J5" s="6" t="s">
        <v>50</v>
      </c>
      <c r="K5" s="6" t="s">
        <v>50</v>
      </c>
      <c r="L5" s="6" t="s">
        <v>50</v>
      </c>
      <c r="M5" s="6" t="s">
        <v>50</v>
      </c>
      <c r="N5" s="6" t="s">
        <v>50</v>
      </c>
      <c r="O5" s="6" t="s">
        <v>50</v>
      </c>
      <c r="P5" s="6" t="s">
        <v>50</v>
      </c>
      <c r="Q5" s="6" t="s">
        <v>50</v>
      </c>
      <c r="R5" s="6" t="s">
        <v>50</v>
      </c>
      <c r="S5" s="6" t="s">
        <v>50</v>
      </c>
      <c r="T5" s="6" t="s">
        <v>50</v>
      </c>
      <c r="U5" s="6" t="s">
        <v>50</v>
      </c>
      <c r="V5" s="6" t="s">
        <v>50</v>
      </c>
      <c r="W5" s="6" t="s">
        <v>50</v>
      </c>
      <c r="X5" s="6" t="s">
        <v>50</v>
      </c>
      <c r="Y5" s="6" t="s">
        <v>50</v>
      </c>
      <c r="Z5" s="6" t="s">
        <v>50</v>
      </c>
      <c r="AA5" s="6" t="s">
        <v>50</v>
      </c>
      <c r="AB5" s="6" t="s">
        <v>50</v>
      </c>
      <c r="AC5" s="6" t="s">
        <v>50</v>
      </c>
      <c r="AD5" s="6" t="s">
        <v>50</v>
      </c>
      <c r="AE5" s="6" t="s">
        <v>50</v>
      </c>
      <c r="AF5" s="6" t="s">
        <v>50</v>
      </c>
      <c r="AG5" s="6" t="s">
        <v>50</v>
      </c>
      <c r="AH5" s="6" t="s">
        <v>50</v>
      </c>
      <c r="AI5" s="6" t="s">
        <v>50</v>
      </c>
      <c r="AJ5" s="6" t="s">
        <v>50</v>
      </c>
      <c r="AK5" s="6" t="s">
        <v>50</v>
      </c>
      <c r="AL5" s="6" t="s">
        <v>50</v>
      </c>
      <c r="AM5" s="6" t="s">
        <v>50</v>
      </c>
      <c r="AN5" s="6" t="s">
        <v>50</v>
      </c>
      <c r="AO5" s="6" t="s">
        <v>50</v>
      </c>
      <c r="AP5" s="6" t="s">
        <v>50</v>
      </c>
      <c r="AQ5" s="6" t="s">
        <v>50</v>
      </c>
      <c r="AR5" s="6" t="s">
        <v>50</v>
      </c>
      <c r="AS5" s="6" t="s">
        <v>50</v>
      </c>
      <c r="AT5" s="6" t="s">
        <v>50</v>
      </c>
    </row>
    <row r="6" spans="1:46" s="2" customFormat="1" ht="54.6" hidden="1" customHeight="1" x14ac:dyDescent="0.25">
      <c r="A6" s="4" t="s">
        <v>33</v>
      </c>
      <c r="B6" s="5" t="s">
        <v>29</v>
      </c>
      <c r="C6" s="7" t="str">
        <f>CONCATENATE(C2,", ",C4,", ","in ",C5)</f>
        <v>UK, Imports, in pound/ton</v>
      </c>
      <c r="D6" s="7" t="str">
        <f>CONCATENATE(D2,", ",D4,", ","in ",D5)</f>
        <v>UK, Foreign and Colonial Exports, in pound/ton</v>
      </c>
      <c r="E6" s="7" t="str">
        <f t="shared" ref="E6:AF6" si="0">CONCATENATE(E2,", ",E4,", ","in ",E5)</f>
        <v>Baghdad, Imports, in pound/ton</v>
      </c>
      <c r="F6" s="7" t="str">
        <f t="shared" si="0"/>
        <v>Baghdad, Exports, in pound/ton</v>
      </c>
      <c r="G6" s="7" t="str">
        <f t="shared" si="0"/>
        <v>Baghdad, Bazaar (Local), in pound/ton</v>
      </c>
      <c r="H6" s="7" t="str">
        <f t="shared" si="0"/>
        <v>Basrah, Imports, in pound/ton</v>
      </c>
      <c r="I6" s="7" t="str">
        <f t="shared" si="0"/>
        <v>Basrah, Exports, in pound/ton</v>
      </c>
      <c r="J6" s="7" t="str">
        <f t="shared" si="0"/>
        <v>Basrah, Bazaar (Local), in pound/ton</v>
      </c>
      <c r="K6" s="7" t="str">
        <f t="shared" si="0"/>
        <v>Mosul, Imports, in pound/ton</v>
      </c>
      <c r="L6" s="7" t="str">
        <f t="shared" si="0"/>
        <v>Egypt, Exports, in pound/ton</v>
      </c>
      <c r="M6" s="7" t="str">
        <f t="shared" si="0"/>
        <v>Egypt, Bazaar (Local), in pound/ton</v>
      </c>
      <c r="N6" s="7" t="str">
        <f t="shared" si="0"/>
        <v>Palestine, Imports, in pound/ton</v>
      </c>
      <c r="O6" s="7" t="str">
        <f t="shared" si="0"/>
        <v>Palestine, Exports, in pound/ton</v>
      </c>
      <c r="P6" s="7" t="str">
        <f t="shared" si="0"/>
        <v>Palestine, Bazaar (Local), in pound/ton</v>
      </c>
      <c r="Q6" s="7" t="str">
        <f t="shared" si="0"/>
        <v>Damascus, Imports, in pound/ton</v>
      </c>
      <c r="R6" s="7" t="str">
        <f t="shared" si="0"/>
        <v>Beirut, Imports, in pound/ton</v>
      </c>
      <c r="S6" s="7" t="str">
        <f t="shared" si="0"/>
        <v>Turkey, Imports, in pound/ton</v>
      </c>
      <c r="T6" s="7" t="str">
        <f t="shared" si="0"/>
        <v>Turkey, Exports, in pound/ton</v>
      </c>
      <c r="U6" s="7" t="str">
        <f t="shared" si="0"/>
        <v>Constantinople, Imports, in pound/ton</v>
      </c>
      <c r="V6" s="7" t="str">
        <f t="shared" si="0"/>
        <v>Constantinople, Exports, in pound/ton</v>
      </c>
      <c r="W6" s="7" t="str">
        <f t="shared" si="0"/>
        <v>Trebizond (Anatolia), Imports, in pound/ton</v>
      </c>
      <c r="X6" s="7" t="str">
        <f t="shared" si="0"/>
        <v>Trebizond (Persia), Exports, in pound/ton</v>
      </c>
      <c r="Y6" s="7" t="str">
        <f t="shared" si="0"/>
        <v>Trebizond (Persia), Bazaar (Local), in pound/ton</v>
      </c>
      <c r="Z6" s="7" t="str">
        <f t="shared" si="0"/>
        <v>Izmir, Imports, in pound/ton</v>
      </c>
      <c r="AA6" s="7" t="str">
        <f t="shared" si="0"/>
        <v>Alexandretta, Imports, in pound/ton</v>
      </c>
      <c r="AB6" s="7" t="str">
        <f t="shared" si="0"/>
        <v>Ispahan, Bazaar (Local), in pound/ton</v>
      </c>
      <c r="AC6" s="7" t="str">
        <f t="shared" si="0"/>
        <v>Khorasan, Imports, in pound/ton</v>
      </c>
      <c r="AD6" s="7" t="str">
        <f t="shared" si="0"/>
        <v>Kerman &amp; Kermanshah, Imports, in pound/ton</v>
      </c>
      <c r="AE6" s="7" t="str">
        <f t="shared" si="0"/>
        <v>Kermanshah, Exports, in pound/ton</v>
      </c>
      <c r="AF6" s="7" t="str">
        <f t="shared" si="0"/>
        <v>Kermanshah, Bazaar (Local), in pound/ton</v>
      </c>
      <c r="AG6" s="7" t="str">
        <f t="shared" ref="AG6:AT6" si="1">CONCATENATE(AG2,", ",AG4,", ","in ",AG5)</f>
        <v>Resht &amp; Mazandaran, Exports, in pound/ton</v>
      </c>
      <c r="AH6" s="7" t="str">
        <f t="shared" si="1"/>
        <v>Resht, Bazaar (Local), in pound/ton</v>
      </c>
      <c r="AI6" s="7" t="str">
        <f t="shared" si="1"/>
        <v>Ghilan &amp; Tunekabun, Exports, in pound/ton</v>
      </c>
      <c r="AJ6" s="7" t="str">
        <f t="shared" si="1"/>
        <v>Bender Gez &amp; Astarabad, Exports, in pound/ton</v>
      </c>
      <c r="AK6" s="7" t="str">
        <f t="shared" si="1"/>
        <v>Astara, Exports, in pound/ton</v>
      </c>
      <c r="AL6" s="7" t="str">
        <f t="shared" si="1"/>
        <v>Bahrain, Imports, in pound/ton</v>
      </c>
      <c r="AM6" s="7" t="str">
        <f t="shared" si="1"/>
        <v>Muscat, Imports, in pound/ton</v>
      </c>
      <c r="AN6" s="7" t="str">
        <f t="shared" si="1"/>
        <v>Muscat, Exports, in pound/ton</v>
      </c>
      <c r="AO6" s="7" t="str">
        <f t="shared" si="1"/>
        <v>Mohammerah, Imports, in pound/ton</v>
      </c>
      <c r="AP6" s="7" t="str">
        <f t="shared" si="1"/>
        <v>Mohammerah, Exports, in pound/ton</v>
      </c>
      <c r="AQ6" s="7" t="str">
        <f t="shared" si="1"/>
        <v>Lingah, Imports, in pound/ton</v>
      </c>
      <c r="AR6" s="7" t="str">
        <f t="shared" si="1"/>
        <v>Lingah, Exports, in pound/ton</v>
      </c>
      <c r="AS6" s="7" t="str">
        <f t="shared" si="1"/>
        <v>India, Exports, in pound/ton</v>
      </c>
      <c r="AT6" s="7" t="str">
        <f t="shared" si="1"/>
        <v>India, Wholesale, in pound/ton</v>
      </c>
    </row>
    <row r="7" spans="1:46" x14ac:dyDescent="0.25">
      <c r="A7" s="8">
        <v>1840</v>
      </c>
      <c r="C7" s="17"/>
      <c r="D7" s="1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6" x14ac:dyDescent="0.25">
      <c r="A8" s="8">
        <f t="shared" ref="A8:A71" si="2">A7+1</f>
        <v>1841</v>
      </c>
      <c r="C8" s="17"/>
      <c r="D8" s="1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6" x14ac:dyDescent="0.25">
      <c r="A9" s="8">
        <f t="shared" si="2"/>
        <v>1842</v>
      </c>
      <c r="C9" s="17"/>
      <c r="D9" s="1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6" x14ac:dyDescent="0.25">
      <c r="A10" s="8">
        <f t="shared" si="2"/>
        <v>1843</v>
      </c>
      <c r="C10" s="17"/>
      <c r="D10" s="1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>
        <v>3.7608616799828365</v>
      </c>
    </row>
    <row r="11" spans="1:46" x14ac:dyDescent="0.25">
      <c r="A11" s="8">
        <f t="shared" si="2"/>
        <v>1844</v>
      </c>
      <c r="C11" s="17"/>
      <c r="D11" s="1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>
        <v>3.7015410456678532</v>
      </c>
    </row>
    <row r="12" spans="1:46" x14ac:dyDescent="0.25">
      <c r="A12" s="8">
        <f t="shared" si="2"/>
        <v>1845</v>
      </c>
      <c r="C12" s="17"/>
      <c r="D12" s="1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>
        <v>4.2181898789867027</v>
      </c>
    </row>
    <row r="13" spans="1:46" x14ac:dyDescent="0.25">
      <c r="A13" s="8">
        <f t="shared" si="2"/>
        <v>1846</v>
      </c>
      <c r="C13" s="17"/>
      <c r="D13" s="1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>
        <v>4.7159384471137127</v>
      </c>
    </row>
    <row r="14" spans="1:46" x14ac:dyDescent="0.25">
      <c r="A14" s="8">
        <f t="shared" si="2"/>
        <v>1847</v>
      </c>
      <c r="C14" s="17"/>
      <c r="D14" s="1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>
        <v>4.1301965651342654</v>
      </c>
    </row>
    <row r="15" spans="1:46" x14ac:dyDescent="0.25">
      <c r="A15" s="8">
        <f t="shared" si="2"/>
        <v>1848</v>
      </c>
      <c r="C15" s="17"/>
      <c r="D15" s="17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>
        <v>3.0483279199617619</v>
      </c>
    </row>
    <row r="16" spans="1:46" x14ac:dyDescent="0.25">
      <c r="A16" s="8">
        <f t="shared" si="2"/>
        <v>1849</v>
      </c>
      <c r="C16" s="17"/>
      <c r="D16" s="1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>
        <v>3.0611360204658022</v>
      </c>
    </row>
    <row r="17" spans="1:45" x14ac:dyDescent="0.25">
      <c r="A17" s="8">
        <f t="shared" si="2"/>
        <v>1850</v>
      </c>
      <c r="C17" s="17"/>
      <c r="D17" s="1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>
        <v>3.0371832091335698</v>
      </c>
    </row>
    <row r="18" spans="1:45" x14ac:dyDescent="0.25">
      <c r="A18" s="8">
        <f t="shared" si="2"/>
        <v>1851</v>
      </c>
      <c r="C18" s="17"/>
      <c r="D18" s="1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>
        <v>3.6730970822108273</v>
      </c>
    </row>
    <row r="19" spans="1:45" x14ac:dyDescent="0.25">
      <c r="A19" s="8">
        <f t="shared" si="2"/>
        <v>1852</v>
      </c>
      <c r="C19" s="17"/>
      <c r="D19" s="1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>
        <v>4.1059110758668629</v>
      </c>
    </row>
    <row r="20" spans="1:45" x14ac:dyDescent="0.25">
      <c r="A20" s="8">
        <f t="shared" si="2"/>
        <v>1853</v>
      </c>
      <c r="C20" s="17"/>
      <c r="D20" s="1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7"/>
      <c r="R20" s="1"/>
      <c r="S20" s="1"/>
      <c r="T20" s="1"/>
      <c r="U20" s="1"/>
      <c r="V20" s="1"/>
      <c r="W20" s="1"/>
      <c r="X20" s="1"/>
      <c r="Y20" s="1"/>
      <c r="Z20" s="1"/>
      <c r="AA20" s="3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>
        <v>3.9078013654731896</v>
      </c>
    </row>
    <row r="21" spans="1:45" x14ac:dyDescent="0.25">
      <c r="A21" s="8">
        <f t="shared" si="2"/>
        <v>1854</v>
      </c>
      <c r="C21" s="17">
        <v>14.103197323697373</v>
      </c>
      <c r="D21" s="17">
        <v>14.083332297480391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7"/>
      <c r="R21" s="1"/>
      <c r="S21" s="1"/>
      <c r="T21" s="1"/>
      <c r="U21" s="1"/>
      <c r="V21" s="1"/>
      <c r="W21" s="1"/>
      <c r="X21" s="1"/>
      <c r="Y21" s="1"/>
      <c r="Z21" s="1"/>
      <c r="AA21" s="16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>
        <v>4.2556161466933169</v>
      </c>
    </row>
    <row r="22" spans="1:45" x14ac:dyDescent="0.25">
      <c r="A22" s="8">
        <f t="shared" si="2"/>
        <v>1855</v>
      </c>
      <c r="C22" s="17">
        <v>14.615357807625735</v>
      </c>
      <c r="D22" s="17">
        <v>14.583347696844182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7"/>
      <c r="R22" s="1"/>
      <c r="S22" s="1"/>
      <c r="T22" s="1"/>
      <c r="U22" s="1"/>
      <c r="V22" s="1"/>
      <c r="W22" s="1"/>
      <c r="X22" s="1"/>
      <c r="Y22" s="1"/>
      <c r="Z22" s="1"/>
      <c r="AA22" s="16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>
        <v>4.3650256026223158</v>
      </c>
    </row>
    <row r="23" spans="1:45" x14ac:dyDescent="0.25">
      <c r="A23" s="8">
        <f t="shared" si="2"/>
        <v>1856</v>
      </c>
      <c r="C23" s="17">
        <v>10.76402200324431</v>
      </c>
      <c r="D23" s="17">
        <v>10.749996103844911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7"/>
      <c r="R23" s="1"/>
      <c r="S23" s="1"/>
      <c r="T23" s="1"/>
      <c r="U23" s="1"/>
      <c r="V23" s="1"/>
      <c r="W23" s="1"/>
      <c r="X23" s="1"/>
      <c r="Y23" s="1"/>
      <c r="Z23" s="1"/>
      <c r="AA23" s="16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>
        <v>4.528204129823151</v>
      </c>
    </row>
    <row r="24" spans="1:45" x14ac:dyDescent="0.25">
      <c r="A24" s="8">
        <f t="shared" si="2"/>
        <v>1857</v>
      </c>
      <c r="C24" s="17">
        <v>11.443868777449964</v>
      </c>
      <c r="D24" s="17">
        <v>11.416666201915149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7"/>
      <c r="R24" s="1"/>
      <c r="S24" s="1"/>
      <c r="T24" s="1"/>
      <c r="U24" s="1"/>
      <c r="V24" s="1"/>
      <c r="W24" s="1"/>
      <c r="X24" s="1"/>
      <c r="Y24" s="1"/>
      <c r="Z24" s="1"/>
      <c r="AA24" s="16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>
        <v>5.0124584492048294</v>
      </c>
    </row>
    <row r="25" spans="1:45" x14ac:dyDescent="0.25">
      <c r="A25" s="8">
        <f t="shared" si="2"/>
        <v>1858</v>
      </c>
      <c r="C25" s="17">
        <v>9.0114227349071232</v>
      </c>
      <c r="D25" s="17">
        <v>9.0003851084722193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>
        <f>2240*0.0089998593141992</f>
        <v>20.159684863806209</v>
      </c>
      <c r="P25" s="3"/>
      <c r="Q25" s="17"/>
      <c r="R25" s="1"/>
      <c r="S25" s="1"/>
      <c r="T25" s="1"/>
      <c r="U25" s="1"/>
      <c r="V25" s="1"/>
      <c r="W25" s="1"/>
      <c r="X25" s="1"/>
      <c r="Y25" s="1"/>
      <c r="Z25" s="1"/>
      <c r="AA25" s="16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>
        <v>5.7520430838294079</v>
      </c>
    </row>
    <row r="26" spans="1:45" x14ac:dyDescent="0.25">
      <c r="A26" s="8">
        <f t="shared" si="2"/>
        <v>1859</v>
      </c>
      <c r="C26" s="17">
        <v>11.128935267555438</v>
      </c>
      <c r="D26" s="17">
        <v>11.166668831028288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Q26" s="17"/>
      <c r="R26" s="1"/>
      <c r="S26" s="1"/>
      <c r="T26" s="1"/>
      <c r="U26" s="1"/>
      <c r="V26" s="1"/>
      <c r="W26" s="1"/>
      <c r="X26" s="1"/>
      <c r="Y26" s="1"/>
      <c r="Z26" s="1"/>
      <c r="AA26" s="16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>
        <v>6.8547456846919248</v>
      </c>
    </row>
    <row r="27" spans="1:45" x14ac:dyDescent="0.25">
      <c r="A27" s="8">
        <f t="shared" si="2"/>
        <v>1860</v>
      </c>
      <c r="C27" s="17">
        <v>13.369819123129771</v>
      </c>
      <c r="D27" s="17">
        <v>13.416668797790452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Q27" s="17"/>
      <c r="R27" s="1"/>
      <c r="S27" s="1"/>
      <c r="T27" s="1"/>
      <c r="U27" s="1"/>
      <c r="V27" s="1"/>
      <c r="W27" s="1"/>
      <c r="X27" s="1"/>
      <c r="Y27" s="1"/>
      <c r="Z27" s="1"/>
      <c r="AA27" s="16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>
        <v>6.9501410826018928</v>
      </c>
    </row>
    <row r="28" spans="1:45" x14ac:dyDescent="0.25">
      <c r="A28" s="8">
        <f t="shared" si="2"/>
        <v>1861</v>
      </c>
      <c r="C28" s="17">
        <v>12.898024026982984</v>
      </c>
      <c r="D28" s="17">
        <v>12.916661827860839</v>
      </c>
      <c r="E28" s="1"/>
      <c r="F28" s="1"/>
      <c r="G28" s="17"/>
      <c r="H28" s="1"/>
      <c r="I28" s="1"/>
      <c r="J28" s="1"/>
      <c r="K28" s="1"/>
      <c r="L28" s="1"/>
      <c r="M28" s="1"/>
      <c r="N28" s="1"/>
      <c r="O28" s="1"/>
      <c r="Q28" s="17"/>
      <c r="R28" s="1"/>
      <c r="S28" s="1"/>
      <c r="T28" s="1"/>
      <c r="U28" s="1"/>
      <c r="V28" s="1"/>
      <c r="W28" s="1"/>
      <c r="X28" s="1"/>
      <c r="Y28" s="1"/>
      <c r="Z28" s="1"/>
      <c r="AA28" s="16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>
        <v>4.6756035577378006</v>
      </c>
    </row>
    <row r="29" spans="1:45" x14ac:dyDescent="0.25">
      <c r="A29" s="8">
        <f t="shared" si="2"/>
        <v>1862</v>
      </c>
      <c r="C29" s="17">
        <v>12.259460966998478</v>
      </c>
      <c r="D29" s="17">
        <v>12.249999803466691</v>
      </c>
      <c r="E29" s="1"/>
      <c r="F29" s="1"/>
      <c r="G29" s="17"/>
      <c r="H29" s="1"/>
      <c r="I29" s="1"/>
      <c r="J29" s="1"/>
      <c r="K29" s="1"/>
      <c r="L29" s="1"/>
      <c r="M29" s="1"/>
      <c r="N29" s="1"/>
      <c r="O29" s="1"/>
      <c r="P29" s="1"/>
      <c r="Q29" s="17"/>
      <c r="R29" s="1"/>
      <c r="S29" s="1"/>
      <c r="T29" s="1"/>
      <c r="U29" s="1"/>
      <c r="V29" s="1"/>
      <c r="W29" s="1"/>
      <c r="X29" s="1"/>
      <c r="Y29" s="1"/>
      <c r="Z29" s="1"/>
      <c r="AA29" s="16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>
        <v>4.5783137438081161</v>
      </c>
    </row>
    <row r="30" spans="1:45" x14ac:dyDescent="0.25">
      <c r="A30" s="8">
        <f t="shared" si="2"/>
        <v>1863</v>
      </c>
      <c r="C30" s="17">
        <v>12.159438326708802</v>
      </c>
      <c r="D30" s="17">
        <v>12.166663554019983</v>
      </c>
      <c r="E30" s="1"/>
      <c r="F30" s="1"/>
      <c r="G30" s="17"/>
      <c r="H30" s="1"/>
      <c r="I30" s="1"/>
      <c r="J30" s="1"/>
      <c r="K30" s="1"/>
      <c r="L30" s="1"/>
      <c r="M30" s="1"/>
      <c r="N30" s="1"/>
      <c r="P30" s="1"/>
      <c r="Q30" s="17"/>
      <c r="R30" s="1"/>
      <c r="S30" s="1"/>
      <c r="T30" s="1"/>
      <c r="U30" s="1"/>
      <c r="V30" s="1"/>
      <c r="W30" s="1"/>
      <c r="X30" s="1"/>
      <c r="Y30" s="1"/>
      <c r="Z30" s="1"/>
      <c r="AA30" s="16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>
        <v>4.2275207029778965</v>
      </c>
    </row>
    <row r="31" spans="1:45" x14ac:dyDescent="0.25">
      <c r="A31" s="8">
        <f t="shared" si="2"/>
        <v>1864</v>
      </c>
      <c r="C31" s="17">
        <v>11.350700359198783</v>
      </c>
      <c r="D31" s="17">
        <v>11.33333928810683</v>
      </c>
      <c r="F31" s="1"/>
      <c r="G31" s="17"/>
      <c r="H31" s="1"/>
      <c r="I31" s="1"/>
      <c r="J31" s="1">
        <f>2240*0.00341380250954719</f>
        <v>7.6469176213857057</v>
      </c>
      <c r="K31" s="1"/>
      <c r="L31" s="1"/>
      <c r="M31" s="1"/>
      <c r="N31" s="1"/>
      <c r="P31" s="1"/>
      <c r="Q31" s="19"/>
      <c r="R31" s="1"/>
      <c r="S31" s="1"/>
      <c r="T31" s="1"/>
      <c r="U31" s="1"/>
      <c r="V31" s="1"/>
      <c r="W31" s="1"/>
      <c r="X31" s="1"/>
      <c r="Y31" s="1"/>
      <c r="Z31" s="1"/>
      <c r="AB31" s="1"/>
      <c r="AC31" s="1"/>
      <c r="AD31" s="1"/>
      <c r="AE31" s="1"/>
      <c r="AF31" s="1"/>
      <c r="AG31" s="1"/>
      <c r="AH31" s="1"/>
      <c r="AI31" s="1">
        <f>2240*0.005125</f>
        <v>11.48</v>
      </c>
      <c r="AJ31" s="1"/>
      <c r="AK31" s="1"/>
      <c r="AL31" s="1"/>
      <c r="AM31" s="1"/>
      <c r="AN31" s="1"/>
      <c r="AO31" s="1"/>
      <c r="AP31" s="1"/>
      <c r="AQ31" s="1"/>
      <c r="AR31" s="1"/>
      <c r="AS31" s="1">
        <v>5.6285918467201101</v>
      </c>
    </row>
    <row r="32" spans="1:45" x14ac:dyDescent="0.25">
      <c r="A32" s="8">
        <f t="shared" si="2"/>
        <v>1865</v>
      </c>
      <c r="C32" s="17">
        <v>13.73</v>
      </c>
      <c r="D32" s="17">
        <v>13.749998209546128</v>
      </c>
      <c r="E32" s="18"/>
      <c r="F32" s="17"/>
      <c r="G32" s="17"/>
      <c r="H32" s="1"/>
      <c r="I32" s="1"/>
      <c r="J32" s="1">
        <f>2240*0.00300941080196399</f>
        <v>6.7410801963993379</v>
      </c>
      <c r="K32" s="1"/>
      <c r="L32" s="1"/>
      <c r="M32" s="1"/>
      <c r="N32" s="1"/>
      <c r="P32" s="1"/>
      <c r="Q32" s="17"/>
      <c r="R32" s="1"/>
      <c r="S32" s="1"/>
      <c r="T32" s="1"/>
      <c r="U32" s="1"/>
      <c r="W32" s="1"/>
      <c r="X32" s="1"/>
      <c r="Y32" s="1"/>
      <c r="Z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>
        <v>7.0986656088111815</v>
      </c>
    </row>
    <row r="33" spans="1:46" x14ac:dyDescent="0.25">
      <c r="A33" s="8">
        <f t="shared" si="2"/>
        <v>1866</v>
      </c>
      <c r="C33" s="17">
        <v>13.58</v>
      </c>
      <c r="D33" s="17">
        <v>13.583331600763561</v>
      </c>
      <c r="E33" s="17">
        <f>2240*0.00488589146713986</f>
        <v>10.944396886393285</v>
      </c>
      <c r="F33" s="17"/>
      <c r="G33" s="17">
        <f>2240*0.0053480824049605</f>
        <v>11.97970458711152</v>
      </c>
      <c r="H33" s="1"/>
      <c r="I33" s="1"/>
      <c r="J33" s="3">
        <f>2240*0.00208510638297872</f>
        <v>4.6706382978723333</v>
      </c>
      <c r="K33" s="1"/>
      <c r="L33" s="1"/>
      <c r="M33" s="1"/>
      <c r="N33" s="1"/>
      <c r="Q33" s="17"/>
      <c r="R33" s="1"/>
      <c r="S33" s="1"/>
      <c r="T33" s="1"/>
      <c r="U33" s="1"/>
      <c r="V33" s="1"/>
      <c r="W33" s="1"/>
      <c r="X33" s="1"/>
      <c r="Y33" s="1"/>
      <c r="Z33" s="1"/>
      <c r="AB33" s="1"/>
      <c r="AC33" s="1"/>
      <c r="AD33" s="1"/>
      <c r="AE33" s="1"/>
      <c r="AF33" s="1"/>
      <c r="AG33" s="1"/>
      <c r="AH33" s="1"/>
      <c r="AJ33" s="1"/>
      <c r="AK33" s="1"/>
      <c r="AL33" s="1"/>
      <c r="AM33" s="1"/>
      <c r="AN33" s="1"/>
      <c r="AO33" s="1"/>
      <c r="AP33" s="1"/>
      <c r="AQ33" s="1"/>
      <c r="AR33" s="1"/>
      <c r="AS33" s="1">
        <v>9.9234501281828429</v>
      </c>
    </row>
    <row r="34" spans="1:46" x14ac:dyDescent="0.25">
      <c r="A34" s="8">
        <f t="shared" si="2"/>
        <v>1867</v>
      </c>
      <c r="C34" s="17">
        <v>14.64</v>
      </c>
      <c r="D34" s="17">
        <v>14.666666666666666</v>
      </c>
      <c r="E34" s="17">
        <f>2240*0.00789661148138833</f>
        <v>17.68840971830986</v>
      </c>
      <c r="F34" s="17">
        <f>2240*0.00597438787074231</f>
        <v>13.382628830462775</v>
      </c>
      <c r="G34" s="17">
        <f>2240*0.00601272034470283</f>
        <v>13.468493572134339</v>
      </c>
      <c r="H34" s="1"/>
      <c r="I34" s="1"/>
      <c r="J34" s="3">
        <f>2240*0.00268412438625205</f>
        <v>6.0124386252045916</v>
      </c>
      <c r="K34" s="1"/>
      <c r="L34" s="1"/>
      <c r="M34" s="1"/>
      <c r="N34" s="1"/>
      <c r="Q34" s="17"/>
      <c r="R34" s="1"/>
      <c r="S34" s="1"/>
      <c r="T34" s="1"/>
      <c r="U34" s="1"/>
      <c r="V34" s="1"/>
      <c r="W34" s="1"/>
      <c r="X34" s="1"/>
      <c r="Y34" s="1"/>
      <c r="Z34" s="1"/>
      <c r="AB34" s="1"/>
      <c r="AC34" s="1"/>
      <c r="AD34" s="1"/>
      <c r="AE34" s="1"/>
      <c r="AF34" s="1"/>
      <c r="AG34" s="1"/>
      <c r="AH34" s="1"/>
      <c r="AJ34" s="1"/>
      <c r="AK34" s="1"/>
      <c r="AL34" s="1"/>
      <c r="AM34" s="1"/>
      <c r="AN34" s="1"/>
      <c r="AO34" s="1"/>
      <c r="AP34" s="1"/>
      <c r="AQ34" s="1"/>
      <c r="AR34" s="1"/>
      <c r="AS34" s="1">
        <v>7.2935062964391228</v>
      </c>
    </row>
    <row r="35" spans="1:46" x14ac:dyDescent="0.25">
      <c r="A35" s="8">
        <f t="shared" si="2"/>
        <v>1868</v>
      </c>
      <c r="C35" s="17">
        <v>12.29</v>
      </c>
      <c r="D35" s="17">
        <v>12.333336599034006</v>
      </c>
      <c r="E35" s="17">
        <f>2240*0.0033746174185201</f>
        <v>7.5591430174850238</v>
      </c>
      <c r="F35" s="17"/>
      <c r="G35" s="17">
        <f>2240*0.00428670349165377</f>
        <v>9.6022158213044442</v>
      </c>
      <c r="H35" s="1"/>
      <c r="I35" s="1"/>
      <c r="J35" s="3">
        <f>2240*0.00231860338243317</f>
        <v>5.193671576650301</v>
      </c>
      <c r="K35" s="1"/>
      <c r="L35" s="1"/>
      <c r="M35" s="1"/>
      <c r="N35" s="1"/>
      <c r="Q35" s="17"/>
      <c r="R35" s="1"/>
      <c r="S35" s="1"/>
      <c r="T35" s="1"/>
      <c r="U35" s="1"/>
      <c r="V35" s="1"/>
      <c r="W35" s="1"/>
      <c r="X35" s="1"/>
      <c r="Y35" s="1"/>
      <c r="Z35" s="1"/>
      <c r="AB35" s="1"/>
      <c r="AC35" s="1"/>
      <c r="AD35" s="1"/>
      <c r="AE35" s="1"/>
      <c r="AF35" s="1"/>
      <c r="AG35" s="1"/>
      <c r="AH35" s="1"/>
      <c r="AJ35" s="1"/>
      <c r="AK35" s="1"/>
      <c r="AL35" s="1"/>
      <c r="AM35" s="1"/>
      <c r="AN35" s="1"/>
      <c r="AO35" s="1"/>
      <c r="AP35" s="1"/>
      <c r="AQ35" s="1"/>
      <c r="AR35" s="1"/>
      <c r="AS35" s="1">
        <v>5.4383168846489269</v>
      </c>
    </row>
    <row r="36" spans="1:46" x14ac:dyDescent="0.25">
      <c r="A36" s="8">
        <f t="shared" si="2"/>
        <v>1869</v>
      </c>
      <c r="C36" s="17">
        <v>10.67</v>
      </c>
      <c r="D36" s="17">
        <v>10.666660826449178</v>
      </c>
      <c r="E36" s="17">
        <f>2240*0.0036592644829923</f>
        <v>8.1967524419027527</v>
      </c>
      <c r="F36" s="17">
        <f>2240*0.00451231023196574</f>
        <v>10.107574919603259</v>
      </c>
      <c r="G36" s="17">
        <f>2240*0.00368226316191988</f>
        <v>8.2482694827005307</v>
      </c>
      <c r="H36" s="1"/>
      <c r="I36" s="1"/>
      <c r="J36" s="1"/>
      <c r="K36" s="1"/>
      <c r="L36" s="1"/>
      <c r="M36" s="1"/>
      <c r="N36" s="1"/>
      <c r="Q36" s="17"/>
      <c r="R36" s="1"/>
      <c r="S36" s="1"/>
      <c r="T36" s="1"/>
      <c r="U36" s="1"/>
      <c r="V36" s="1"/>
      <c r="W36" s="1"/>
      <c r="X36" s="1"/>
      <c r="Y36" s="1"/>
      <c r="Z36" s="1"/>
      <c r="AB36" s="1"/>
      <c r="AC36" s="1"/>
      <c r="AD36" s="1"/>
      <c r="AE36" s="1"/>
      <c r="AF36" s="1"/>
      <c r="AG36" s="1"/>
      <c r="AH36" s="1"/>
      <c r="AJ36" s="1"/>
      <c r="AK36" s="1"/>
      <c r="AL36" s="1"/>
      <c r="AM36" s="1"/>
      <c r="AN36" s="1"/>
      <c r="AO36" s="1"/>
      <c r="AP36" s="1"/>
      <c r="AQ36" s="1"/>
      <c r="AR36" s="1"/>
      <c r="AS36" s="1">
        <v>6.5213029342519926</v>
      </c>
    </row>
    <row r="37" spans="1:46" x14ac:dyDescent="0.25">
      <c r="A37" s="8">
        <f t="shared" si="2"/>
        <v>1870</v>
      </c>
      <c r="C37" s="17">
        <v>10.58</v>
      </c>
      <c r="D37" s="17">
        <v>10.583330332385035</v>
      </c>
      <c r="E37" s="17">
        <f>2240*0.00503483194799055</f>
        <v>11.278023563498831</v>
      </c>
      <c r="F37" s="17"/>
      <c r="G37" s="17">
        <f>2240*0.00582332669450083</f>
        <v>13.044251795681859</v>
      </c>
      <c r="H37" s="1"/>
      <c r="I37" s="1"/>
      <c r="J37" s="1"/>
      <c r="K37" s="1"/>
      <c r="L37" s="1"/>
      <c r="M37" s="1"/>
      <c r="N37" s="1"/>
      <c r="O37" s="1"/>
      <c r="Q37" s="17"/>
      <c r="R37" s="1"/>
      <c r="S37" s="1"/>
      <c r="T37" s="1"/>
      <c r="U37" s="1"/>
      <c r="V37" s="1"/>
      <c r="W37" s="1"/>
      <c r="X37" s="1"/>
      <c r="Y37" s="1"/>
      <c r="Z37" s="1"/>
      <c r="AB37" s="1"/>
      <c r="AC37" s="1"/>
      <c r="AD37" s="1"/>
      <c r="AE37" s="1"/>
      <c r="AF37" s="1"/>
      <c r="AG37" s="1"/>
      <c r="AH37" s="1"/>
      <c r="AI37" s="1">
        <f>2240*0.00898692810457516</f>
        <v>20.130718954248358</v>
      </c>
      <c r="AJ37" s="1"/>
      <c r="AK37" s="1"/>
      <c r="AL37" s="1"/>
      <c r="AM37" s="1"/>
      <c r="AN37" s="1"/>
      <c r="AO37" s="1"/>
      <c r="AP37" s="1"/>
      <c r="AQ37" s="1"/>
      <c r="AR37" s="1"/>
      <c r="AS37" s="1">
        <v>5.5507379302845772</v>
      </c>
    </row>
    <row r="38" spans="1:46" x14ac:dyDescent="0.25">
      <c r="A38" s="8">
        <f t="shared" si="2"/>
        <v>1871</v>
      </c>
      <c r="C38" s="17">
        <v>10.19</v>
      </c>
      <c r="D38" s="17">
        <v>12.308464509066583</v>
      </c>
      <c r="E38" s="17"/>
      <c r="F38" s="17"/>
      <c r="G38" s="17">
        <f>2240*0.0082375676853657</f>
        <v>18.452151615219165</v>
      </c>
      <c r="H38" s="1"/>
      <c r="I38" s="1"/>
      <c r="K38" s="1"/>
      <c r="L38" s="1"/>
      <c r="M38" s="1"/>
      <c r="N38" s="1"/>
      <c r="O38" s="1"/>
      <c r="Q38" s="17"/>
      <c r="R38" s="1">
        <v>15.65625</v>
      </c>
      <c r="S38" s="1"/>
      <c r="T38" s="1"/>
      <c r="U38" s="1"/>
      <c r="V38" s="1"/>
      <c r="W38" s="1"/>
      <c r="X38" s="1"/>
      <c r="Y38" s="1"/>
      <c r="Z38" s="1"/>
      <c r="AB38" s="1"/>
      <c r="AC38" s="1"/>
      <c r="AD38" s="1"/>
      <c r="AE38" s="1"/>
      <c r="AF38" s="1"/>
      <c r="AG38" s="1"/>
      <c r="AH38" s="1"/>
      <c r="AI38" s="1">
        <f>2240*0.00326797385620915</f>
        <v>7.3202614379084956</v>
      </c>
      <c r="AJ38" s="1"/>
      <c r="AK38" s="1"/>
      <c r="AL38" s="1"/>
      <c r="AM38" s="1"/>
      <c r="AN38" s="1"/>
      <c r="AO38" s="1"/>
      <c r="AP38" s="1"/>
      <c r="AQ38" s="1"/>
      <c r="AR38" s="1"/>
      <c r="AS38" s="1">
        <v>5.3819434089213258</v>
      </c>
    </row>
    <row r="39" spans="1:46" x14ac:dyDescent="0.25">
      <c r="A39" s="8">
        <f t="shared" si="2"/>
        <v>1872</v>
      </c>
      <c r="C39" s="17">
        <v>10</v>
      </c>
      <c r="D39" s="17">
        <v>12.607540507999966</v>
      </c>
      <c r="E39" s="17"/>
      <c r="F39" s="17"/>
      <c r="G39" s="17">
        <f>2240*0.00322450248756219</f>
        <v>7.2228855721393055</v>
      </c>
      <c r="H39" s="1"/>
      <c r="I39" s="1"/>
      <c r="J39" s="1"/>
      <c r="K39" s="1"/>
      <c r="L39" s="1"/>
      <c r="M39" s="1"/>
      <c r="O39" s="1"/>
      <c r="Q39" s="17"/>
      <c r="R39" s="1">
        <v>16.78125</v>
      </c>
      <c r="S39" s="1"/>
      <c r="T39" s="1"/>
      <c r="U39" s="1"/>
      <c r="V39" s="1"/>
      <c r="W39" s="1"/>
      <c r="X39" s="1"/>
      <c r="Y39" s="1"/>
      <c r="Z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>
        <v>5.0880807822578626</v>
      </c>
    </row>
    <row r="40" spans="1:46" x14ac:dyDescent="0.25">
      <c r="A40" s="8">
        <f t="shared" si="2"/>
        <v>1873</v>
      </c>
      <c r="C40" s="17">
        <v>9.92</v>
      </c>
      <c r="D40" s="17">
        <v>11.740083761545105</v>
      </c>
      <c r="E40" s="17"/>
      <c r="F40" s="17"/>
      <c r="G40" s="17">
        <f>2240*0.00324160447761194</f>
        <v>7.2611940298507456</v>
      </c>
      <c r="H40" s="3">
        <f>2240*0.00184988839285714</f>
        <v>4.1437499999999936</v>
      </c>
      <c r="I40" s="1"/>
      <c r="J40" s="1"/>
      <c r="K40" s="1"/>
      <c r="L40" s="1"/>
      <c r="M40" s="1"/>
      <c r="N40" s="1">
        <f>2240*0.00840227399143304</f>
        <v>18.82109374081001</v>
      </c>
      <c r="O40" s="1"/>
      <c r="P40" s="1"/>
      <c r="Q40" s="17"/>
      <c r="R40" s="1">
        <v>18.291666666666664</v>
      </c>
      <c r="S40" s="1"/>
      <c r="T40" s="1"/>
      <c r="U40" s="1"/>
      <c r="V40" s="1"/>
      <c r="W40" s="1"/>
      <c r="X40" s="1"/>
      <c r="Y40" s="1"/>
      <c r="Z40" s="1"/>
      <c r="AB40" s="1"/>
      <c r="AC40" s="1"/>
      <c r="AD40" s="1"/>
      <c r="AE40" s="1"/>
      <c r="AF40" s="1"/>
      <c r="AG40" s="1">
        <f>2240*0.00317460317460317</f>
        <v>7.1111111111111001</v>
      </c>
      <c r="AH40" s="1"/>
      <c r="AJ40" s="1"/>
      <c r="AK40" s="1"/>
      <c r="AL40" s="1"/>
      <c r="AM40" s="1"/>
      <c r="AN40" s="1"/>
      <c r="AO40" s="1"/>
      <c r="AP40" s="1"/>
      <c r="AQ40" s="1"/>
      <c r="AR40" s="1"/>
      <c r="AS40" s="1">
        <v>5.6077829130209293</v>
      </c>
      <c r="AT40" s="1">
        <v>6.2423500575674469</v>
      </c>
    </row>
    <row r="41" spans="1:46" x14ac:dyDescent="0.25">
      <c r="A41" s="8">
        <f t="shared" si="2"/>
        <v>1874</v>
      </c>
      <c r="C41" s="17">
        <v>10.33</v>
      </c>
      <c r="D41" s="17">
        <v>12.304800755710003</v>
      </c>
      <c r="F41" s="17"/>
      <c r="G41" s="17">
        <f>2240*0.00317164179104478</f>
        <v>7.1044776119403066</v>
      </c>
      <c r="I41" s="1"/>
      <c r="J41" s="1"/>
      <c r="K41" s="1"/>
      <c r="L41" s="1"/>
      <c r="M41" s="1"/>
      <c r="N41" s="1">
        <f>2240*0.00755968345272965</f>
        <v>16.933690934114416</v>
      </c>
      <c r="O41" s="1"/>
      <c r="P41" s="1"/>
      <c r="Q41" s="17"/>
      <c r="R41" s="1"/>
      <c r="S41" s="1"/>
      <c r="T41" s="1"/>
      <c r="U41" s="1"/>
      <c r="V41" s="1"/>
      <c r="W41" s="1"/>
      <c r="X41" s="1"/>
      <c r="Y41" s="1"/>
      <c r="Z41" s="1"/>
      <c r="AB41" s="1"/>
      <c r="AC41" s="1"/>
      <c r="AD41" s="1"/>
      <c r="AE41" s="1"/>
      <c r="AF41" s="1"/>
      <c r="AG41" s="1">
        <f>2240*0.00209156402509877</f>
        <v>4.6851034162212448</v>
      </c>
      <c r="AH41" s="1">
        <f>2240*0.00313725490196078</f>
        <v>7.027450980392147</v>
      </c>
      <c r="AJ41" s="1"/>
      <c r="AK41" s="1"/>
      <c r="AL41" s="1"/>
      <c r="AM41" s="1">
        <f>(1/112*2240)*0.582728666386923</f>
        <v>11.65457332773846</v>
      </c>
      <c r="AN41" s="20"/>
      <c r="AO41" s="1"/>
      <c r="AP41" s="1"/>
      <c r="AQ41" s="1"/>
      <c r="AR41" s="1"/>
      <c r="AS41" s="1">
        <v>7.8469039034782231</v>
      </c>
      <c r="AT41" s="1"/>
    </row>
    <row r="42" spans="1:46" x14ac:dyDescent="0.25">
      <c r="A42" s="8">
        <f t="shared" si="2"/>
        <v>1875</v>
      </c>
      <c r="C42" s="17">
        <v>8.9499999999999993</v>
      </c>
      <c r="D42" s="17">
        <v>11.003075858577642</v>
      </c>
      <c r="E42" s="17"/>
      <c r="F42" s="17"/>
      <c r="G42" s="17">
        <f>2240*0.00315151515151515</f>
        <v>7.059393939393936</v>
      </c>
      <c r="I42" s="1"/>
      <c r="K42" s="1"/>
      <c r="L42" s="1"/>
      <c r="M42" s="1"/>
      <c r="N42" s="1">
        <f>2240*0.00736776925345537</f>
        <v>16.503803127740028</v>
      </c>
      <c r="O42" s="1"/>
      <c r="P42" s="1"/>
      <c r="Q42" s="17"/>
      <c r="R42" s="1"/>
      <c r="S42" s="1"/>
      <c r="T42" s="1"/>
      <c r="U42" s="1"/>
      <c r="V42" s="1"/>
      <c r="W42" s="1"/>
      <c r="X42" s="1"/>
      <c r="Y42" s="1"/>
      <c r="Z42" s="1"/>
      <c r="AB42" s="1"/>
      <c r="AC42" s="1"/>
      <c r="AD42" s="1"/>
      <c r="AE42" s="1"/>
      <c r="AF42" s="1"/>
      <c r="AG42" s="1">
        <f>2240*0.00200695652173913</f>
        <v>4.495582608695651</v>
      </c>
      <c r="AI42" s="1">
        <f>2240*0.0021577380952381</f>
        <v>4.8333333333333446</v>
      </c>
      <c r="AJ42" s="1"/>
      <c r="AK42" s="1"/>
      <c r="AL42" s="1"/>
      <c r="AM42" s="1">
        <f>(1/112*2240)*0.493729391349761</f>
        <v>9.8745878269952208</v>
      </c>
      <c r="AN42" s="1"/>
      <c r="AO42" s="1"/>
      <c r="AP42" s="1"/>
      <c r="AQ42" s="1"/>
      <c r="AR42" s="1"/>
      <c r="AS42" s="1">
        <v>7.0850618448165283</v>
      </c>
      <c r="AT42" s="1"/>
    </row>
    <row r="43" spans="1:46" x14ac:dyDescent="0.25">
      <c r="A43" s="8">
        <f t="shared" si="2"/>
        <v>1876</v>
      </c>
      <c r="C43" s="17">
        <v>9.06</v>
      </c>
      <c r="D43" s="17">
        <v>10.740606916430709</v>
      </c>
      <c r="E43" s="17"/>
      <c r="F43" s="17"/>
      <c r="G43" s="17">
        <f>2240*0.00328282828282828</f>
        <v>7.3535353535353476</v>
      </c>
      <c r="I43" s="1"/>
      <c r="K43" s="1"/>
      <c r="L43" s="1"/>
      <c r="M43" s="1"/>
      <c r="N43" s="1">
        <f>2240*0.00821428975030817</f>
        <v>18.4000090406903</v>
      </c>
      <c r="O43" s="1"/>
      <c r="P43" s="1"/>
      <c r="Q43" s="17"/>
      <c r="R43" s="1">
        <v>11</v>
      </c>
      <c r="S43" s="1"/>
      <c r="T43" s="1"/>
      <c r="U43" s="1"/>
      <c r="V43" s="1"/>
      <c r="W43" s="1"/>
      <c r="X43" s="1"/>
      <c r="Y43" s="1"/>
      <c r="Z43" s="1"/>
      <c r="AB43" s="1"/>
      <c r="AC43" s="1"/>
      <c r="AD43" s="1"/>
      <c r="AE43" s="1"/>
      <c r="AF43" s="1"/>
      <c r="AI43" s="1">
        <f>2240*0.00223214285714286</f>
        <v>5.0000000000000062</v>
      </c>
      <c r="AJ43" s="1"/>
      <c r="AK43" s="1"/>
      <c r="AL43" s="1"/>
      <c r="AM43" s="1">
        <f>(1/112*2240)*0.47652916582177</f>
        <v>9.5305833164354006</v>
      </c>
      <c r="AN43" s="1"/>
      <c r="AO43" s="1"/>
      <c r="AP43" s="1"/>
      <c r="AQ43" s="1"/>
      <c r="AR43" s="1"/>
      <c r="AS43" s="1">
        <v>5.5684579089648025</v>
      </c>
      <c r="AT43" s="1"/>
    </row>
    <row r="44" spans="1:46" x14ac:dyDescent="0.25">
      <c r="A44" s="8">
        <f t="shared" si="2"/>
        <v>1877</v>
      </c>
      <c r="C44" s="17">
        <v>10.55</v>
      </c>
      <c r="D44" s="17">
        <v>12.572755452258406</v>
      </c>
      <c r="E44" s="17">
        <f>2240*0.00454169252712324</f>
        <v>10.173391260756057</v>
      </c>
      <c r="F44" s="17">
        <f>2240*0.00525933034787446</f>
        <v>11.780899979238789</v>
      </c>
      <c r="G44" s="17">
        <f>2240*0.00363636363636364</f>
        <v>8.1454545454545535</v>
      </c>
      <c r="I44" s="1"/>
      <c r="K44" s="1"/>
      <c r="L44" s="1"/>
      <c r="M44" s="1"/>
      <c r="N44" s="1">
        <f>2240*0.00854800721257632</f>
        <v>19.147536156170954</v>
      </c>
      <c r="O44" s="1"/>
      <c r="P44" s="1"/>
      <c r="Q44" s="17"/>
      <c r="R44" s="1"/>
      <c r="S44" s="1"/>
      <c r="T44" s="1"/>
      <c r="U44" s="1"/>
      <c r="V44" s="1"/>
      <c r="W44" s="1"/>
      <c r="X44" s="1"/>
      <c r="Y44" s="1"/>
      <c r="Z44" s="1"/>
      <c r="AB44" s="1"/>
      <c r="AC44" s="1"/>
      <c r="AD44" s="1"/>
      <c r="AE44" s="1"/>
      <c r="AF44" s="1"/>
      <c r="AI44" s="1"/>
      <c r="AJ44" s="1"/>
      <c r="AK44" s="1"/>
      <c r="AL44" s="3"/>
      <c r="AM44" s="1">
        <f>(1/112*2240)*0.557056384157469</f>
        <v>11.141127683149382</v>
      </c>
      <c r="AN44" s="1"/>
      <c r="AO44" s="1"/>
      <c r="AP44" s="1"/>
      <c r="AQ44" s="1"/>
      <c r="AR44" s="1"/>
      <c r="AS44" s="1">
        <v>7.7354174840054615</v>
      </c>
      <c r="AT44" s="1"/>
    </row>
    <row r="45" spans="1:46" x14ac:dyDescent="0.25">
      <c r="A45" s="8">
        <f t="shared" si="2"/>
        <v>1878</v>
      </c>
      <c r="C45" s="17">
        <v>10.48</v>
      </c>
      <c r="D45" s="17">
        <v>12.646175552901486</v>
      </c>
      <c r="E45" s="1"/>
      <c r="F45" s="17">
        <f>2240*0.00446428571428571</f>
        <v>9.9999999999999893</v>
      </c>
      <c r="G45" s="17"/>
      <c r="I45" s="1"/>
      <c r="K45" s="1"/>
      <c r="L45" s="1"/>
      <c r="M45" s="1"/>
      <c r="N45" s="1"/>
      <c r="O45" s="1"/>
      <c r="P45" s="1"/>
      <c r="Q45" s="17"/>
      <c r="R45" s="1">
        <v>16.48544423440454</v>
      </c>
      <c r="S45" s="1"/>
      <c r="T45" s="1"/>
      <c r="U45" s="1"/>
      <c r="V45" s="1"/>
      <c r="W45" s="1"/>
      <c r="X45" s="1"/>
      <c r="Y45" s="1"/>
      <c r="Z45" s="1"/>
      <c r="AA45" s="17">
        <v>17.678571428571427</v>
      </c>
      <c r="AB45" s="1"/>
      <c r="AC45" s="1"/>
      <c r="AD45" s="1"/>
      <c r="AE45" s="1"/>
      <c r="AF45" s="1"/>
      <c r="AI45" s="1"/>
      <c r="AJ45" s="1"/>
      <c r="AK45" s="1"/>
      <c r="AL45" s="3"/>
      <c r="AM45" s="1">
        <f>(1/112*2240)*0.581253981098056</f>
        <v>11.62507962196112</v>
      </c>
      <c r="AN45" s="1"/>
      <c r="AO45" s="1"/>
      <c r="AP45" s="1"/>
      <c r="AQ45" s="1"/>
      <c r="AR45" s="1"/>
      <c r="AS45" s="1">
        <v>8.3007011599028537</v>
      </c>
      <c r="AT45" s="1"/>
    </row>
    <row r="46" spans="1:46" x14ac:dyDescent="0.25">
      <c r="A46" s="8">
        <f t="shared" si="2"/>
        <v>1879</v>
      </c>
      <c r="C46" s="17">
        <v>10.15</v>
      </c>
      <c r="D46" s="17">
        <v>12.111918445967746</v>
      </c>
      <c r="F46" s="17"/>
      <c r="G46" s="17"/>
      <c r="I46" s="1"/>
      <c r="K46" s="1"/>
      <c r="L46" s="1"/>
      <c r="M46" s="1"/>
      <c r="N46" s="1">
        <f>2240*0.00901817070526788</f>
        <v>20.200702379800049</v>
      </c>
      <c r="O46" s="1"/>
      <c r="P46" s="1"/>
      <c r="Q46" s="17"/>
      <c r="R46" s="1">
        <v>13.999321573948439</v>
      </c>
      <c r="S46" s="1"/>
      <c r="T46" s="1"/>
      <c r="U46" s="1"/>
      <c r="V46" s="1"/>
      <c r="W46" s="1"/>
      <c r="X46" s="1"/>
      <c r="Y46" s="1"/>
      <c r="Z46" s="1"/>
      <c r="AA46" s="17">
        <v>21.698924731182796</v>
      </c>
      <c r="AB46" s="1"/>
      <c r="AC46" s="1"/>
      <c r="AD46" s="1"/>
      <c r="AE46" s="1"/>
      <c r="AF46" s="1"/>
      <c r="AI46" s="1"/>
      <c r="AJ46" s="1"/>
      <c r="AK46" s="1"/>
      <c r="AL46" s="3"/>
      <c r="AM46" s="1">
        <f>(1/112*2240)*0.519882513629039</f>
        <v>10.39765027258078</v>
      </c>
      <c r="AN46" s="1">
        <f>(1/112*2240)*0.340616243063461</f>
        <v>6.8123248612692198</v>
      </c>
      <c r="AO46" s="1"/>
      <c r="AP46" s="1"/>
      <c r="AQ46" s="1"/>
      <c r="AR46" s="1"/>
      <c r="AS46" s="1">
        <v>8.910271947292058</v>
      </c>
      <c r="AT46" s="1"/>
    </row>
    <row r="47" spans="1:46" x14ac:dyDescent="0.25">
      <c r="A47" s="8">
        <f t="shared" si="2"/>
        <v>1880</v>
      </c>
      <c r="C47" s="17">
        <v>9.52</v>
      </c>
      <c r="D47" s="17">
        <v>11.634829111836106</v>
      </c>
      <c r="F47" s="17"/>
      <c r="G47" s="17"/>
      <c r="I47" s="1"/>
      <c r="K47" s="1"/>
      <c r="L47" s="1"/>
      <c r="M47" s="1"/>
      <c r="N47" s="1">
        <f>2240*0.00767360718337096</f>
        <v>17.188880090750949</v>
      </c>
      <c r="O47" s="1">
        <f>2240*0.00869304592848786</f>
        <v>19.472422879812804</v>
      </c>
      <c r="P47" s="3"/>
      <c r="Q47" s="17"/>
      <c r="R47" s="1"/>
      <c r="S47" s="1"/>
      <c r="T47" s="1"/>
      <c r="U47" s="1"/>
      <c r="V47" s="1"/>
      <c r="W47" s="1"/>
      <c r="X47" s="1"/>
      <c r="Y47" s="1"/>
      <c r="Z47" s="1"/>
      <c r="AA47" s="18">
        <v>22.571428571428573</v>
      </c>
      <c r="AB47" s="1"/>
      <c r="AC47" s="1"/>
      <c r="AD47" s="1"/>
      <c r="AE47" s="1"/>
      <c r="AF47" s="1"/>
      <c r="AH47" s="1"/>
      <c r="AI47" s="1"/>
      <c r="AJ47" s="1"/>
      <c r="AK47" s="1"/>
      <c r="AL47" s="1"/>
      <c r="AM47" s="1">
        <f>(1/112*2240)*0.413061931911408</f>
        <v>8.2612386382281606</v>
      </c>
      <c r="AN47" s="1">
        <f>(1/112*2240)*0.413010763979413</f>
        <v>8.2602152795882606</v>
      </c>
      <c r="AO47" s="1"/>
      <c r="AP47" s="1"/>
      <c r="AQ47" s="1"/>
      <c r="AR47" s="1"/>
      <c r="AS47" s="1">
        <v>6.9526158608533928</v>
      </c>
      <c r="AT47" s="1"/>
    </row>
    <row r="48" spans="1:46" x14ac:dyDescent="0.25">
      <c r="A48" s="8">
        <f t="shared" si="2"/>
        <v>1881</v>
      </c>
      <c r="C48" s="17">
        <v>8.64</v>
      </c>
      <c r="D48" s="17">
        <v>10.288512958339531</v>
      </c>
      <c r="F48" s="17"/>
      <c r="G48" s="17"/>
      <c r="I48" s="1"/>
      <c r="J48" s="1"/>
      <c r="K48" s="1"/>
      <c r="L48" s="1"/>
      <c r="M48" s="1"/>
      <c r="N48" s="1">
        <f>2240*0.00719432930746951</f>
        <v>16.115297648731701</v>
      </c>
      <c r="O48" s="1"/>
      <c r="P48" s="1"/>
      <c r="Q48" s="17"/>
      <c r="R48" s="1">
        <v>11.87648456057007</v>
      </c>
      <c r="S48" s="1"/>
      <c r="T48" s="1"/>
      <c r="U48" s="1"/>
      <c r="V48" s="1"/>
      <c r="W48" s="1"/>
      <c r="X48" s="1"/>
      <c r="Y48" s="1"/>
      <c r="Z48" s="1"/>
      <c r="AA48" s="17">
        <v>22.671703296703299</v>
      </c>
      <c r="AB48" s="1"/>
      <c r="AC48" s="1"/>
      <c r="AD48" s="1"/>
      <c r="AE48" s="1"/>
      <c r="AF48" s="1"/>
      <c r="AH48" s="1"/>
      <c r="AI48" s="1"/>
      <c r="AJ48" s="1">
        <f>2240*0.0042724358974359</f>
        <v>9.570256410256416</v>
      </c>
      <c r="AK48" s="1"/>
      <c r="AL48" s="1"/>
      <c r="AM48" s="1">
        <f>(1/112*2240)*0.310517088028842</f>
        <v>6.2103417605768394</v>
      </c>
      <c r="AN48" s="1">
        <f>(1/112*2240)*0.350198122157527</f>
        <v>7.0039624431505398</v>
      </c>
      <c r="AO48" s="1"/>
      <c r="AP48" s="1"/>
      <c r="AQ48" s="1"/>
      <c r="AR48" s="1"/>
      <c r="AS48" s="1">
        <v>5.2731142309322339</v>
      </c>
      <c r="AT48" s="1"/>
    </row>
    <row r="49" spans="1:46" x14ac:dyDescent="0.25">
      <c r="A49" s="8">
        <f t="shared" si="2"/>
        <v>1882</v>
      </c>
      <c r="C49" s="17">
        <v>7.98</v>
      </c>
      <c r="D49" s="17">
        <v>9.5062068139602491</v>
      </c>
      <c r="F49" s="17"/>
      <c r="G49" s="17"/>
      <c r="I49" s="1"/>
      <c r="J49" s="1"/>
      <c r="K49" s="1"/>
      <c r="L49" s="1"/>
      <c r="M49" s="1"/>
      <c r="N49" s="1">
        <f>2240*0.00637032003796073</f>
        <v>14.269516885032035</v>
      </c>
      <c r="O49" s="1"/>
      <c r="P49" s="1"/>
      <c r="Q49" s="17">
        <v>14.227131471408619</v>
      </c>
      <c r="R49" s="1">
        <v>12.022194821208386</v>
      </c>
      <c r="S49" s="1"/>
      <c r="T49" s="1"/>
      <c r="U49" s="1"/>
      <c r="W49" s="1"/>
      <c r="X49" s="1"/>
      <c r="Y49" s="1"/>
      <c r="Z49" s="1">
        <v>20</v>
      </c>
      <c r="AA49" s="17">
        <v>20.405953991880917</v>
      </c>
      <c r="AB49" s="1"/>
      <c r="AC49" s="1"/>
      <c r="AD49" s="1"/>
      <c r="AE49" s="1"/>
      <c r="AF49" s="1"/>
      <c r="AH49" s="1"/>
      <c r="AI49" s="1"/>
      <c r="AJ49" s="1">
        <f>2240*0.00438888888888889</f>
        <v>9.8311111111111131</v>
      </c>
      <c r="AK49" s="1"/>
      <c r="AL49" s="1"/>
      <c r="AM49" s="1">
        <f>(1/112*2240)*0.358668659825091</f>
        <v>7.1733731965018199</v>
      </c>
      <c r="AN49" s="1">
        <f>(1/112*2240)*0.310910814351329</f>
        <v>6.2182162870265802</v>
      </c>
      <c r="AO49" s="1"/>
      <c r="AP49" s="1"/>
      <c r="AQ49" s="1"/>
      <c r="AR49" s="1"/>
      <c r="AS49" s="1">
        <v>4.8733929656772768</v>
      </c>
      <c r="AT49" s="1"/>
    </row>
    <row r="50" spans="1:46" x14ac:dyDescent="0.25">
      <c r="A50" s="8">
        <f t="shared" si="2"/>
        <v>1883</v>
      </c>
      <c r="C50" s="17">
        <v>8.1999999999999993</v>
      </c>
      <c r="D50" s="17">
        <v>9.5958721210596725</v>
      </c>
      <c r="F50" s="17"/>
      <c r="G50" s="17"/>
      <c r="I50" s="1"/>
      <c r="J50" s="1"/>
      <c r="K50" s="1"/>
      <c r="L50" s="1"/>
      <c r="M50" s="1"/>
      <c r="N50" s="1">
        <f>2240*0.00717193914698468</f>
        <v>16.065143689245684</v>
      </c>
      <c r="O50" s="1"/>
      <c r="P50" s="1"/>
      <c r="Q50" s="17"/>
      <c r="R50" s="1">
        <v>11.750096824167313</v>
      </c>
      <c r="S50" s="1"/>
      <c r="T50" s="1"/>
      <c r="U50" s="1"/>
      <c r="W50" s="1">
        <v>15</v>
      </c>
      <c r="X50" s="1">
        <f>(1/112*2240)*2</f>
        <v>40</v>
      </c>
      <c r="Y50" s="1"/>
      <c r="Z50" s="1">
        <v>20.007376263185073</v>
      </c>
      <c r="AA50" s="17">
        <v>18.319008264462813</v>
      </c>
      <c r="AB50" s="1"/>
      <c r="AC50" s="1"/>
      <c r="AD50" s="1"/>
      <c r="AE50" s="1"/>
      <c r="AF50" s="1"/>
      <c r="AH50" s="1"/>
      <c r="AI50" s="1"/>
      <c r="AK50" s="1"/>
      <c r="AL50" s="1"/>
      <c r="AM50" s="1">
        <f>(1/112*2240)*0.699246502723917</f>
        <v>13.98493005447834</v>
      </c>
      <c r="AN50" s="1">
        <f>(1/112*2240)*0.388045080695282</f>
        <v>7.7609016139056397</v>
      </c>
      <c r="AO50" s="1"/>
      <c r="AP50" s="1"/>
      <c r="AQ50" s="1"/>
      <c r="AR50" s="1"/>
      <c r="AS50" s="1">
        <v>5.5244581053823731</v>
      </c>
      <c r="AT50" s="1"/>
    </row>
    <row r="51" spans="1:46" x14ac:dyDescent="0.25">
      <c r="A51" s="8">
        <f t="shared" si="2"/>
        <v>1884</v>
      </c>
      <c r="C51" s="17">
        <v>8.14</v>
      </c>
      <c r="D51" s="17">
        <v>9.7721508526520022</v>
      </c>
      <c r="F51" s="17"/>
      <c r="G51" s="17"/>
      <c r="I51" s="1"/>
      <c r="J51" s="1"/>
      <c r="K51" s="3">
        <f>(1/112*2240)*0.545454545454545</f>
        <v>10.909090909090899</v>
      </c>
      <c r="L51" s="3"/>
      <c r="M51" s="3"/>
      <c r="N51" s="1">
        <f>2240*0.00631842478805388</f>
        <v>14.153271525240692</v>
      </c>
      <c r="O51" s="1"/>
      <c r="Q51" s="17"/>
      <c r="R51" s="1">
        <v>10</v>
      </c>
      <c r="S51" s="3"/>
      <c r="T51" s="1"/>
      <c r="U51" s="1"/>
      <c r="W51" s="1">
        <v>13</v>
      </c>
      <c r="X51" s="3">
        <f>(1/112*2240)*2</f>
        <v>40</v>
      </c>
      <c r="Y51" s="3"/>
      <c r="Z51" s="1">
        <v>23.196855635786346</v>
      </c>
      <c r="AA51" s="17"/>
      <c r="AB51" s="1"/>
      <c r="AC51" s="1"/>
      <c r="AD51" s="1"/>
      <c r="AE51" s="1"/>
      <c r="AF51" s="1"/>
      <c r="AH51" s="1"/>
      <c r="AI51" s="3"/>
      <c r="AK51" s="1"/>
      <c r="AL51" s="1"/>
      <c r="AM51" s="1">
        <f>(1/112*2240)*0.54388841912919</f>
        <v>10.877768382583799</v>
      </c>
      <c r="AN51" s="3">
        <f>(1/112*2240)*0.411599243938472</f>
        <v>8.2319848787694401</v>
      </c>
      <c r="AO51" s="3"/>
      <c r="AP51" s="1"/>
      <c r="AQ51" s="1"/>
      <c r="AR51" s="3"/>
      <c r="AS51" s="1">
        <v>6.9520878971754509</v>
      </c>
      <c r="AT51" s="1">
        <v>5.7528409090909092</v>
      </c>
    </row>
    <row r="52" spans="1:46" x14ac:dyDescent="0.25">
      <c r="A52" s="8">
        <f t="shared" si="2"/>
        <v>1885</v>
      </c>
      <c r="C52" s="17">
        <v>7.82</v>
      </c>
      <c r="D52" s="17">
        <v>9.3573422499581032</v>
      </c>
      <c r="F52" s="17"/>
      <c r="G52" s="17"/>
      <c r="I52" s="1"/>
      <c r="J52" s="1"/>
      <c r="K52" s="1"/>
      <c r="L52" s="1">
        <v>9.8499170305676849</v>
      </c>
      <c r="M52" s="1">
        <v>13.018578750246402</v>
      </c>
      <c r="N52" s="1">
        <f>2240*0.00669642857142857</f>
        <v>14.999999999999996</v>
      </c>
      <c r="O52" s="1"/>
      <c r="Q52" s="17"/>
      <c r="R52" s="1">
        <v>10</v>
      </c>
      <c r="S52" s="1"/>
      <c r="T52" s="1"/>
      <c r="U52" s="1"/>
      <c r="V52" s="1">
        <f>2240*(AVERAGE(0.00608766233766234,0.00943848561386023))</f>
        <v>17.389285705705277</v>
      </c>
      <c r="W52" s="1">
        <v>11.493670886075948</v>
      </c>
      <c r="X52" s="1"/>
      <c r="Y52" s="1"/>
      <c r="Z52" s="1">
        <v>20.000154618054751</v>
      </c>
      <c r="AA52" s="17"/>
      <c r="AB52" s="1"/>
      <c r="AC52" s="1"/>
      <c r="AD52" s="1"/>
      <c r="AE52" s="1"/>
      <c r="AF52" s="1"/>
      <c r="AH52" s="1"/>
      <c r="AI52" s="1"/>
      <c r="AK52" s="1"/>
      <c r="AL52" s="1"/>
      <c r="AM52" s="1">
        <f>(1/112*2240)*0.440223363604039</f>
        <v>8.8044672720807799</v>
      </c>
      <c r="AN52" s="1">
        <f>(1/112*2240)*0.438700428724544</f>
        <v>8.77400857449088</v>
      </c>
      <c r="AO52" s="1"/>
      <c r="AP52" s="1"/>
      <c r="AQ52" s="1"/>
      <c r="AR52" s="1"/>
      <c r="AS52" s="1">
        <v>6.3596543915900314</v>
      </c>
      <c r="AT52" s="1">
        <v>5.1870265151515147</v>
      </c>
    </row>
    <row r="53" spans="1:46" x14ac:dyDescent="0.25">
      <c r="A53" s="8">
        <f t="shared" si="2"/>
        <v>1886</v>
      </c>
      <c r="C53" s="17">
        <v>7.48</v>
      </c>
      <c r="D53" s="17">
        <v>8.9676127712744922</v>
      </c>
      <c r="F53" s="17"/>
      <c r="G53" s="17"/>
      <c r="I53" s="1"/>
      <c r="J53" s="1"/>
      <c r="K53" s="1"/>
      <c r="L53" s="1">
        <v>9.1886494158030239</v>
      </c>
      <c r="M53" s="1">
        <v>11.550839591155611</v>
      </c>
      <c r="N53" s="1">
        <f>2240*0.00524553571428571</f>
        <v>11.749999999999991</v>
      </c>
      <c r="O53" s="1"/>
      <c r="Q53" s="17"/>
      <c r="R53" s="1">
        <v>9.25</v>
      </c>
      <c r="S53" s="1"/>
      <c r="T53" s="1"/>
      <c r="V53" s="1">
        <f>2240*0.00616883116883117</f>
        <v>13.81818181818182</v>
      </c>
      <c r="W53" s="1">
        <v>13.280106453759149</v>
      </c>
      <c r="X53" s="1"/>
      <c r="Y53" s="1"/>
      <c r="Z53" s="1">
        <v>18.000000000000004</v>
      </c>
      <c r="AA53" s="17"/>
      <c r="AB53" s="1"/>
      <c r="AC53" s="1"/>
      <c r="AD53" s="1"/>
      <c r="AE53" s="1"/>
      <c r="AF53" s="1"/>
      <c r="AH53" s="1"/>
      <c r="AI53" s="1"/>
      <c r="AK53" s="1"/>
      <c r="AL53" s="1"/>
      <c r="AM53" s="1">
        <f>(1/112*2240)*0.380459659354297</f>
        <v>7.6091931870859399</v>
      </c>
      <c r="AN53" s="1">
        <f>(1/112*2240)*0.384286331146259</f>
        <v>7.6857266229251797</v>
      </c>
      <c r="AO53" s="1"/>
      <c r="AP53" s="1"/>
      <c r="AQ53" s="1"/>
      <c r="AR53" s="1"/>
      <c r="AS53" s="1">
        <v>6.0730372779778667</v>
      </c>
      <c r="AT53" s="1">
        <v>5.1175394144144146</v>
      </c>
    </row>
    <row r="54" spans="1:46" x14ac:dyDescent="0.25">
      <c r="A54" s="8">
        <f t="shared" si="2"/>
        <v>1887</v>
      </c>
      <c r="C54" s="17">
        <v>7.47</v>
      </c>
      <c r="D54" s="17">
        <v>8.7418012930277929</v>
      </c>
      <c r="F54" s="17"/>
      <c r="G54" s="17"/>
      <c r="H54" s="1">
        <f>2240*0.00320335258461098</f>
        <v>7.1755097895285953</v>
      </c>
      <c r="I54" s="1"/>
      <c r="J54" s="1"/>
      <c r="K54" s="1"/>
      <c r="L54" s="1">
        <v>9.0157976071784649</v>
      </c>
      <c r="M54" s="1">
        <v>13.003887297039158</v>
      </c>
      <c r="N54" s="1">
        <f>2240*0.00519480519480519</f>
        <v>11.636363636363624</v>
      </c>
      <c r="O54" s="1"/>
      <c r="P54" s="1"/>
      <c r="Q54" s="17">
        <v>14.546115307738233</v>
      </c>
      <c r="R54" s="1">
        <v>8.25</v>
      </c>
      <c r="S54" s="1"/>
      <c r="T54" s="1"/>
      <c r="U54" s="1"/>
      <c r="V54" s="1"/>
      <c r="W54" s="1">
        <v>11.994261119081779</v>
      </c>
      <c r="X54" s="1"/>
      <c r="Y54" s="1"/>
      <c r="Z54" s="1"/>
      <c r="AA54" s="17">
        <v>22.542271562766867</v>
      </c>
      <c r="AB54" s="1"/>
      <c r="AC54" s="1"/>
      <c r="AD54" s="1"/>
      <c r="AE54" s="1"/>
      <c r="AF54" s="1"/>
      <c r="AH54" s="1"/>
      <c r="AI54" s="1"/>
      <c r="AK54" s="1"/>
      <c r="AL54" s="1"/>
      <c r="AM54" s="1">
        <f>(1/112*2240)*0.356518777596672</f>
        <v>7.1303755519334402</v>
      </c>
      <c r="AN54" s="1">
        <f>(1/112*2240)*0.378463810977376</f>
        <v>7.5692762195475201</v>
      </c>
      <c r="AO54" s="1"/>
      <c r="AP54" s="1"/>
      <c r="AS54" s="1">
        <v>4.9248577826869866</v>
      </c>
      <c r="AT54" s="1">
        <v>5.1314986861861867</v>
      </c>
    </row>
    <row r="55" spans="1:46" x14ac:dyDescent="0.25">
      <c r="A55" s="8">
        <f t="shared" si="2"/>
        <v>1888</v>
      </c>
      <c r="C55" s="17">
        <v>7.46</v>
      </c>
      <c r="D55" s="17">
        <v>8.6611977300167062</v>
      </c>
      <c r="F55" s="17"/>
      <c r="G55" s="17"/>
      <c r="H55" s="1">
        <f>2240*0.0030989338029515</f>
        <v>6.9416117186113597</v>
      </c>
      <c r="I55" s="1"/>
      <c r="K55" s="1"/>
      <c r="L55" s="1">
        <v>9.2510610176958661</v>
      </c>
      <c r="M55" s="1">
        <v>12.291377983063894</v>
      </c>
      <c r="N55" s="1">
        <f>2240*0.00909663865546219</f>
        <v>20.376470588235307</v>
      </c>
      <c r="O55" s="1"/>
      <c r="P55" s="1"/>
      <c r="Q55" s="17">
        <v>29.014177382129905</v>
      </c>
      <c r="R55" s="1">
        <v>9.3333333333333339</v>
      </c>
      <c r="S55" s="1"/>
      <c r="T55" s="1"/>
      <c r="U55" s="1"/>
      <c r="V55" s="1"/>
      <c r="W55" s="1">
        <v>12.009569377990431</v>
      </c>
      <c r="X55" s="1"/>
      <c r="Y55" s="1"/>
      <c r="Z55" s="1">
        <v>16</v>
      </c>
      <c r="AA55" s="17">
        <v>22.567357512953368</v>
      </c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>
        <f>(1/112*2240)*0.345738812718551</f>
        <v>6.9147762543710201</v>
      </c>
      <c r="AN55" s="1">
        <f>(1/112*2240)*0.348588989310854</f>
        <v>6.9717797862170805</v>
      </c>
      <c r="AO55" s="1"/>
      <c r="AP55" s="1"/>
      <c r="AS55" s="1">
        <v>5.0419363802408634</v>
      </c>
      <c r="AT55" s="1">
        <v>5.3696167758667768</v>
      </c>
    </row>
    <row r="56" spans="1:46" x14ac:dyDescent="0.25">
      <c r="A56" s="8">
        <f t="shared" si="2"/>
        <v>1889</v>
      </c>
      <c r="C56" s="17">
        <v>8.17</v>
      </c>
      <c r="D56" s="17">
        <v>9.3321192957478338</v>
      </c>
      <c r="E56" s="17"/>
      <c r="F56" s="17"/>
      <c r="G56" s="17"/>
      <c r="H56" s="1">
        <f>2240*0.00309204728477224</f>
        <v>6.9261859178898177</v>
      </c>
      <c r="I56" s="1">
        <f>2240*0.00193009034925351</f>
        <v>4.3234023823278624</v>
      </c>
      <c r="K56" s="1"/>
      <c r="L56" s="1">
        <v>9.3508204323321671</v>
      </c>
      <c r="M56" s="1">
        <v>13.280542000697107</v>
      </c>
      <c r="N56" s="1">
        <f>2240*0.009375</f>
        <v>21</v>
      </c>
      <c r="O56" s="1"/>
      <c r="P56" s="1"/>
      <c r="Q56" s="17">
        <v>15.263140484932686</v>
      </c>
      <c r="R56" s="1">
        <v>8.5</v>
      </c>
      <c r="S56" s="1"/>
      <c r="T56" s="1"/>
      <c r="U56" s="1"/>
      <c r="V56" s="1"/>
      <c r="W56" s="1">
        <v>12.871287128712872</v>
      </c>
      <c r="X56" s="1"/>
      <c r="Y56" s="1"/>
      <c r="Z56" s="1"/>
      <c r="AA56" s="17">
        <v>19.961928934010153</v>
      </c>
      <c r="AB56" s="1"/>
      <c r="AC56" s="1"/>
      <c r="AE56" s="1"/>
      <c r="AF56" s="1"/>
      <c r="AG56" s="1"/>
      <c r="AH56" s="1"/>
      <c r="AI56" s="1"/>
      <c r="AJ56" s="1"/>
      <c r="AK56" s="1"/>
      <c r="AL56" s="1"/>
      <c r="AM56" s="1">
        <f>(1/112*2240)*0.423448269005971</f>
        <v>8.4689653801194194</v>
      </c>
      <c r="AN56" s="1">
        <f>(1/112*2240)*0.385627275185153</f>
        <v>7.7125455037030601</v>
      </c>
      <c r="AO56" s="1"/>
      <c r="AP56" s="1"/>
      <c r="AS56" s="1">
        <v>6.1710450252651574</v>
      </c>
      <c r="AT56" s="1">
        <v>5.9939364079803896</v>
      </c>
    </row>
    <row r="57" spans="1:46" x14ac:dyDescent="0.25">
      <c r="A57" s="8">
        <f t="shared" si="2"/>
        <v>1890</v>
      </c>
      <c r="C57" s="17">
        <v>8.56</v>
      </c>
      <c r="D57" s="17">
        <v>9.4521901011252414</v>
      </c>
      <c r="E57" s="17"/>
      <c r="F57" s="17"/>
      <c r="G57" s="17"/>
      <c r="H57" s="1">
        <f>2240*0.00299455425818371</f>
        <v>6.7078015383315108</v>
      </c>
      <c r="I57" s="1">
        <f>2240*0.00224648372695503</f>
        <v>5.0321235483792677</v>
      </c>
      <c r="K57" s="1"/>
      <c r="L57" s="1">
        <v>10.826181264666708</v>
      </c>
      <c r="M57" s="1">
        <v>9.8430276981852902</v>
      </c>
      <c r="N57" s="1">
        <f>2240*0.00480442176870748</f>
        <v>10.761904761904756</v>
      </c>
      <c r="O57" s="1"/>
      <c r="P57" s="1"/>
      <c r="Q57" s="17">
        <v>19.012410879324001</v>
      </c>
      <c r="R57" s="1">
        <v>8.75</v>
      </c>
      <c r="S57" s="1"/>
      <c r="T57" s="1"/>
      <c r="U57" s="1"/>
      <c r="V57" s="1"/>
      <c r="W57" s="1">
        <v>12.79954571266326</v>
      </c>
      <c r="X57" s="1"/>
      <c r="Y57" s="1"/>
      <c r="Z57" s="1">
        <v>15.999940062784233</v>
      </c>
      <c r="AA57" s="17">
        <v>15.807807807807794</v>
      </c>
      <c r="AB57" s="1"/>
      <c r="AC57" s="1"/>
      <c r="AD57" s="1"/>
      <c r="AE57" s="1"/>
      <c r="AF57" s="1"/>
      <c r="AG57" s="1">
        <f>2240*0.00251308161910984</f>
        <v>5.6293028268060414</v>
      </c>
      <c r="AH57" s="3">
        <f>2240*0.00333333333333333</f>
        <v>7.4666666666666597</v>
      </c>
      <c r="AI57" s="1"/>
      <c r="AJ57" s="1"/>
      <c r="AK57" s="1"/>
      <c r="AL57" s="1"/>
      <c r="AM57" s="1">
        <f>(1/112*2240)*0.464547323832952</f>
        <v>9.2909464766590393</v>
      </c>
      <c r="AN57" s="1">
        <f>(1/112*2240)*0.41937828771966</f>
        <v>8.3875657543932007</v>
      </c>
      <c r="AO57" s="1">
        <f>(1/112*2240)*0.298803418803419</f>
        <v>5.9760683760683797</v>
      </c>
      <c r="AP57" s="1"/>
      <c r="AS57" s="1">
        <v>6.9650139209139095</v>
      </c>
      <c r="AT57" s="1">
        <v>5.9286775411775414</v>
      </c>
    </row>
    <row r="58" spans="1:46" x14ac:dyDescent="0.25">
      <c r="A58" s="8">
        <f t="shared" si="2"/>
        <v>1891</v>
      </c>
      <c r="C58" s="17">
        <v>9.0299999999999994</v>
      </c>
      <c r="D58" s="17">
        <v>9.3965995453857776</v>
      </c>
      <c r="E58" s="17"/>
      <c r="F58" s="17"/>
      <c r="G58" s="17"/>
      <c r="H58" s="1">
        <f>2240*0.00296311406812286</f>
        <v>6.6373755125952068</v>
      </c>
      <c r="I58" s="3"/>
      <c r="K58" s="1"/>
      <c r="L58" s="1">
        <v>9.1605333792154156</v>
      </c>
      <c r="M58" s="1">
        <v>11.387858032378579</v>
      </c>
      <c r="N58" s="1"/>
      <c r="O58" s="1"/>
      <c r="P58" s="1"/>
      <c r="Q58" s="17">
        <v>16.377649325626205</v>
      </c>
      <c r="R58" s="1">
        <v>8.5</v>
      </c>
      <c r="S58" s="1"/>
      <c r="T58" s="1"/>
      <c r="U58" s="1"/>
      <c r="V58" s="1"/>
      <c r="W58" s="1">
        <v>10.782208588957056</v>
      </c>
      <c r="X58" s="1"/>
      <c r="Y58" s="1"/>
      <c r="Z58" s="1">
        <v>16</v>
      </c>
      <c r="AA58" s="17">
        <v>13.159999999999988</v>
      </c>
      <c r="AB58" s="1"/>
      <c r="AC58" s="1"/>
      <c r="AD58" s="1"/>
      <c r="AE58" s="1"/>
      <c r="AF58" s="1"/>
      <c r="AH58" s="1">
        <f>2240*0.00375</f>
        <v>8.4</v>
      </c>
      <c r="AI58" s="1"/>
      <c r="AJ58" s="1"/>
      <c r="AK58" s="1"/>
      <c r="AL58" s="1"/>
      <c r="AM58" s="1">
        <f>(1/112*2240)*0.43660334859918</f>
        <v>8.732066971983599</v>
      </c>
      <c r="AN58" s="1">
        <f>(1/112*2240)*0.457967677283393</f>
        <v>9.1593535456678605</v>
      </c>
      <c r="AO58" s="1">
        <f>(1/112*2240)*0.3436814048291</f>
        <v>6.8736280965819994</v>
      </c>
      <c r="AP58" s="1">
        <f>(1/112*2240)*0.33112582781457</f>
        <v>6.6225165562913997</v>
      </c>
      <c r="AQ58" s="1"/>
      <c r="AS58" s="1">
        <v>6.4266138337112517</v>
      </c>
      <c r="AT58" s="1">
        <v>6.9333673159946301</v>
      </c>
    </row>
    <row r="59" spans="1:46" x14ac:dyDescent="0.25">
      <c r="A59" s="8">
        <f t="shared" si="2"/>
        <v>1892</v>
      </c>
      <c r="C59" s="17">
        <v>8.89</v>
      </c>
      <c r="D59" s="17">
        <v>9.4978037904675379</v>
      </c>
      <c r="E59" s="17"/>
      <c r="F59" s="17"/>
      <c r="G59" s="17"/>
      <c r="H59" s="1">
        <f>2240*0.00297619047619048</f>
        <v>6.666666666666675</v>
      </c>
      <c r="I59" s="3"/>
      <c r="K59" s="1"/>
      <c r="L59" s="1">
        <v>9.5057302886686781</v>
      </c>
      <c r="M59" s="1">
        <v>11.546980506014101</v>
      </c>
      <c r="N59" s="1">
        <f>2240*0.00535714285714286</f>
        <v>12.000000000000005</v>
      </c>
      <c r="O59" s="1"/>
      <c r="P59" s="1"/>
      <c r="Q59" s="17">
        <v>17.066666666666666</v>
      </c>
      <c r="R59" s="1">
        <v>9</v>
      </c>
      <c r="S59" s="1"/>
      <c r="T59" s="1"/>
      <c r="U59" s="1"/>
      <c r="V59" s="1"/>
      <c r="W59" s="1">
        <v>12</v>
      </c>
      <c r="X59" s="1"/>
      <c r="Y59" s="1"/>
      <c r="Z59" s="1">
        <v>13.333333333333332</v>
      </c>
      <c r="AA59" s="17">
        <v>10.49374999999999</v>
      </c>
      <c r="AB59" s="3">
        <f>2240*0.00566304860783388</f>
        <v>12.685228881547891</v>
      </c>
      <c r="AC59" s="1"/>
      <c r="AD59" s="1"/>
      <c r="AE59" s="1"/>
      <c r="AF59" s="1"/>
      <c r="AH59" s="1">
        <f>2240*0.00465277777777778</f>
        <v>10.422222222222228</v>
      </c>
      <c r="AI59" s="1"/>
      <c r="AK59" s="1"/>
      <c r="AL59" s="1"/>
      <c r="AM59" s="1">
        <f>(1/112*2240)*0.429152158721883</f>
        <v>8.5830431744376607</v>
      </c>
      <c r="AN59" s="1">
        <f>(1/112*2240)*0.448863373019321</f>
        <v>8.97726746038642</v>
      </c>
      <c r="AO59" s="1">
        <f>(1/112*2240)*0.5</f>
        <v>10</v>
      </c>
      <c r="AP59" s="1">
        <f>(1/112*2240)*0.333333333333333</f>
        <v>6.6666666666666599</v>
      </c>
      <c r="AQ59" s="1"/>
      <c r="AS59" s="1">
        <v>6.6454312087835019</v>
      </c>
      <c r="AT59" s="1">
        <v>6.8190491627806438</v>
      </c>
    </row>
    <row r="60" spans="1:46" x14ac:dyDescent="0.25">
      <c r="A60" s="8">
        <f t="shared" si="2"/>
        <v>1893</v>
      </c>
      <c r="C60" s="17">
        <v>7.85</v>
      </c>
      <c r="D60" s="17">
        <v>8.3867810398369187</v>
      </c>
      <c r="E60" s="17"/>
      <c r="F60" s="17"/>
      <c r="G60" s="17"/>
      <c r="H60" s="1">
        <f>2240*0.00297619047619048</f>
        <v>6.666666666666675</v>
      </c>
      <c r="I60" s="3"/>
      <c r="K60" s="1"/>
      <c r="L60" s="1">
        <v>7.3823674726807713</v>
      </c>
      <c r="M60" s="1">
        <v>11.719699831365936</v>
      </c>
      <c r="N60" s="1">
        <f>2240*0.00535714285714286</f>
        <v>12.000000000000005</v>
      </c>
      <c r="O60" s="1"/>
      <c r="P60" s="1"/>
      <c r="Q60" s="17">
        <v>19.106759016001909</v>
      </c>
      <c r="R60" s="1">
        <v>9.5</v>
      </c>
      <c r="S60" s="1"/>
      <c r="T60" s="1"/>
      <c r="U60" s="1"/>
      <c r="V60" s="1"/>
      <c r="W60" s="1">
        <v>12.006717044500419</v>
      </c>
      <c r="X60" s="1"/>
      <c r="Y60" s="1"/>
      <c r="Z60" s="1"/>
      <c r="AA60" s="17">
        <v>10.446985446985437</v>
      </c>
      <c r="AB60" s="3">
        <f>2240*0.00654664484451718</f>
        <v>14.664484451718483</v>
      </c>
      <c r="AC60" s="1"/>
      <c r="AD60" s="1"/>
      <c r="AE60" s="1"/>
      <c r="AF60" s="1"/>
      <c r="AG60" s="1">
        <f>2240*0.00223704723873215</f>
        <v>5.0109858147600166</v>
      </c>
      <c r="AH60" s="1">
        <f>2240*0.00416666666666667</f>
        <v>9.333333333333341</v>
      </c>
      <c r="AI60" s="1"/>
      <c r="AK60" s="1"/>
      <c r="AL60" s="1"/>
      <c r="AM60" s="1">
        <f>(1/112*2240)*0.388686195567504</f>
        <v>7.7737239113500802</v>
      </c>
      <c r="AN60" s="1">
        <f>(1/112*2240)*0.405388555758331</f>
        <v>8.1077711151666207</v>
      </c>
      <c r="AO60" s="1">
        <f>(1/112*2240)*0.333333333333333</f>
        <v>6.6666666666666599</v>
      </c>
      <c r="AP60" s="1"/>
      <c r="AQ60" s="1"/>
      <c r="AS60" s="1">
        <v>6.5841767413581254</v>
      </c>
      <c r="AT60" s="1">
        <v>5.1374176596264114</v>
      </c>
    </row>
    <row r="61" spans="1:46" x14ac:dyDescent="0.25">
      <c r="A61" s="8">
        <f t="shared" si="2"/>
        <v>1894</v>
      </c>
      <c r="C61" s="17">
        <v>7.62</v>
      </c>
      <c r="D61" s="17">
        <v>7.809083358995176</v>
      </c>
      <c r="E61" s="17"/>
      <c r="F61" s="17"/>
      <c r="G61" s="17"/>
      <c r="H61" s="1">
        <f>2240*0.00297619047619048</f>
        <v>6.666666666666675</v>
      </c>
      <c r="I61" s="3"/>
      <c r="K61" s="1"/>
      <c r="L61" s="1">
        <v>6.3410779205041203</v>
      </c>
      <c r="M61" s="1">
        <v>10.618419333768779</v>
      </c>
      <c r="N61" s="1">
        <f>2240*0.0052827380952381</f>
        <v>11.833333333333345</v>
      </c>
      <c r="O61" s="1"/>
      <c r="P61" s="1"/>
      <c r="Q61" s="17">
        <v>16.279069767441861</v>
      </c>
      <c r="R61" s="1">
        <v>7.25</v>
      </c>
      <c r="S61" s="1"/>
      <c r="T61" s="1"/>
      <c r="U61" s="1"/>
      <c r="V61" s="1"/>
      <c r="W61" s="1">
        <v>11.994996873045654</v>
      </c>
      <c r="X61" s="3"/>
      <c r="Y61" s="1"/>
      <c r="Z61" s="1">
        <v>15.999858639761101</v>
      </c>
      <c r="AA61" s="17">
        <v>10.411371237458184</v>
      </c>
      <c r="AC61" s="1"/>
      <c r="AD61" s="1"/>
      <c r="AE61" s="1"/>
      <c r="AF61" s="1"/>
      <c r="AG61" s="1">
        <f>2240*0.00178358569502668</f>
        <v>3.995231956859763</v>
      </c>
      <c r="AH61" s="1"/>
      <c r="AI61" s="1"/>
      <c r="AK61" s="1"/>
      <c r="AL61" s="1"/>
      <c r="AM61" s="1">
        <f>(1/112*2240)*0.304996799875483</f>
        <v>6.0999359975096601</v>
      </c>
      <c r="AN61" s="1">
        <f>(1/112*2240)*0.365978916215251</f>
        <v>7.3195783243050201</v>
      </c>
      <c r="AO61" s="1">
        <f>(1/112*2240)*0.266518188567186</f>
        <v>5.3303637713437197</v>
      </c>
      <c r="AP61" s="1"/>
      <c r="AQ61" s="1"/>
      <c r="AS61" s="1">
        <v>5.3231143495794386</v>
      </c>
      <c r="AT61" s="1">
        <v>4.4127064564333418</v>
      </c>
    </row>
    <row r="62" spans="1:46" x14ac:dyDescent="0.25">
      <c r="A62" s="8">
        <f t="shared" si="2"/>
        <v>1895</v>
      </c>
      <c r="C62" s="17">
        <v>7.3</v>
      </c>
      <c r="D62" s="17">
        <v>7.2604343093216919</v>
      </c>
      <c r="E62" s="17"/>
      <c r="F62" s="17"/>
      <c r="G62" s="17"/>
      <c r="H62" s="1">
        <f>2240*0.00297619047619048</f>
        <v>6.666666666666675</v>
      </c>
      <c r="I62" s="3"/>
      <c r="K62" s="1"/>
      <c r="L62" s="1">
        <v>6.1156184958091915</v>
      </c>
      <c r="M62" s="1">
        <v>9.7869037695656189</v>
      </c>
      <c r="N62" s="1">
        <f>2240*0.00446428571428571</f>
        <v>9.9999999999999893</v>
      </c>
      <c r="O62" s="1"/>
      <c r="P62" s="1"/>
      <c r="Q62" s="17"/>
      <c r="R62" s="1">
        <v>10.120481927710843</v>
      </c>
      <c r="S62" s="1"/>
      <c r="T62" s="1"/>
      <c r="U62" s="1"/>
      <c r="V62" s="1"/>
      <c r="W62" s="1">
        <v>12.004479283314671</v>
      </c>
      <c r="X62" s="3"/>
      <c r="Y62" s="1"/>
      <c r="Z62" s="1"/>
      <c r="AA62" s="17">
        <v>10.404896421845566</v>
      </c>
      <c r="AB62" s="3">
        <f>2240*0.00615384615384615</f>
        <v>13.784615384615376</v>
      </c>
      <c r="AC62" s="1"/>
      <c r="AD62" s="1"/>
      <c r="AE62" s="1"/>
      <c r="AF62" s="1"/>
      <c r="AG62" s="1">
        <f>2240*0.0018500912466005</f>
        <v>4.1442043923851202</v>
      </c>
      <c r="AH62" s="1"/>
      <c r="AI62" s="1"/>
      <c r="AK62" s="1"/>
      <c r="AL62" s="1"/>
      <c r="AM62" s="1">
        <f>(1/112*2240)*0.314219165314482</f>
        <v>6.2843833062896408</v>
      </c>
      <c r="AN62" s="1"/>
      <c r="AO62" s="1">
        <f>(1/112*2240)*0.252331606217617</f>
        <v>5.0466321243523407</v>
      </c>
      <c r="AP62" s="1"/>
      <c r="AQ62" s="1"/>
      <c r="AS62" s="1">
        <v>4.0855123070908261</v>
      </c>
      <c r="AT62" s="1">
        <v>4.3406761253325055</v>
      </c>
    </row>
    <row r="63" spans="1:46" x14ac:dyDescent="0.25">
      <c r="A63" s="8">
        <f t="shared" si="2"/>
        <v>1896</v>
      </c>
      <c r="C63" s="17">
        <v>7.45</v>
      </c>
      <c r="D63" s="17">
        <v>7.6481463236529912</v>
      </c>
      <c r="E63" s="17"/>
      <c r="F63" s="17"/>
      <c r="G63" s="17"/>
      <c r="H63" s="1">
        <f>2240*0.00297592003634711</f>
        <v>6.6660608814175264</v>
      </c>
      <c r="I63" s="3"/>
      <c r="K63" s="1"/>
      <c r="L63" s="1">
        <v>5.9190115123214202</v>
      </c>
      <c r="M63" s="1">
        <v>9.5970060658578848</v>
      </c>
      <c r="N63" s="1">
        <f>2240*0.00446428571428571</f>
        <v>9.9999999999999893</v>
      </c>
      <c r="O63" s="1"/>
      <c r="P63" s="1"/>
      <c r="Q63" s="17"/>
      <c r="R63" s="1">
        <v>9</v>
      </c>
      <c r="S63" s="1"/>
      <c r="T63" s="1"/>
      <c r="V63" s="1"/>
      <c r="W63" s="1">
        <v>12.005885237861698</v>
      </c>
      <c r="X63" s="3"/>
      <c r="Y63" s="1"/>
      <c r="Z63" s="1"/>
      <c r="AA63" s="17">
        <v>10.446153846153836</v>
      </c>
      <c r="AB63" s="3">
        <f>2240*0.00533130236100533</f>
        <v>11.942117288651939</v>
      </c>
      <c r="AC63" s="1"/>
      <c r="AD63" s="1"/>
      <c r="AE63" s="1"/>
      <c r="AF63" s="1"/>
      <c r="AG63" s="1"/>
      <c r="AH63" s="1"/>
      <c r="AI63" s="1"/>
      <c r="AK63" s="1"/>
      <c r="AL63" s="1">
        <v>8.8595102040816336</v>
      </c>
      <c r="AM63" s="1">
        <f>(1/112*2240)*0.32448412345379</f>
        <v>6.4896824690758006</v>
      </c>
      <c r="AN63" s="1"/>
      <c r="AO63" s="1">
        <f>(1/112*2240)*0.627430591660601</f>
        <v>12.54861183321202</v>
      </c>
      <c r="AP63" s="1"/>
      <c r="AQ63" s="1">
        <f>(1/112*2240)*0.392158333333333</f>
        <v>7.8431666666666597</v>
      </c>
      <c r="AR63" s="1">
        <f>(1/112*2240)*0.349423785196626</f>
        <v>6.9884757039325196</v>
      </c>
      <c r="AS63" s="1">
        <v>4.9356283010120263</v>
      </c>
      <c r="AT63" s="1">
        <v>5.172766516513061</v>
      </c>
    </row>
    <row r="64" spans="1:46" x14ac:dyDescent="0.25">
      <c r="A64" s="8">
        <f t="shared" si="2"/>
        <v>1897</v>
      </c>
      <c r="C64" s="17">
        <v>8.17</v>
      </c>
      <c r="D64" s="17">
        <v>8.9566427212584117</v>
      </c>
      <c r="E64" s="17">
        <f>2240*0.00517504088003568</f>
        <v>11.592091571279925</v>
      </c>
      <c r="F64" s="17"/>
      <c r="G64" s="17"/>
      <c r="H64" s="1">
        <f>2240*0.00446398441944099</f>
        <v>9.999325099547816</v>
      </c>
      <c r="I64" s="3"/>
      <c r="K64" s="1"/>
      <c r="L64" s="1">
        <v>7.1895670826833067</v>
      </c>
      <c r="M64" s="1">
        <v>9.5046772684752092</v>
      </c>
      <c r="N64" s="1">
        <f>2240*0.00446428571428571</f>
        <v>9.9999999999999893</v>
      </c>
      <c r="O64" s="1"/>
      <c r="P64" s="1"/>
      <c r="Q64" s="17"/>
      <c r="R64" s="1">
        <v>9</v>
      </c>
      <c r="S64" s="1"/>
      <c r="T64" s="1"/>
      <c r="U64" s="1">
        <v>15</v>
      </c>
      <c r="V64" s="1"/>
      <c r="W64" s="1">
        <v>13.99390243902439</v>
      </c>
      <c r="X64" s="3"/>
      <c r="Y64" s="1"/>
      <c r="Z64" s="1"/>
      <c r="AA64" s="17">
        <v>10.475330926594456</v>
      </c>
      <c r="AC64" s="1"/>
      <c r="AD64" s="1"/>
      <c r="AF64" s="1"/>
      <c r="AG64" s="1"/>
      <c r="AH64" s="1">
        <f>2240*0.00471380471380471</f>
        <v>10.55892255892255</v>
      </c>
      <c r="AI64" s="1"/>
      <c r="AK64" s="1"/>
      <c r="AL64" s="1">
        <v>11.623164179104478</v>
      </c>
      <c r="AM64" s="1">
        <f>(1/112*2240)*0.424418412310293</f>
        <v>8.4883682462058587</v>
      </c>
      <c r="AN64" s="1"/>
      <c r="AO64" s="1">
        <f>(1/112*2240)*0.503187613843352</f>
        <v>10.063752276867039</v>
      </c>
      <c r="AP64" s="1"/>
      <c r="AQ64" s="1">
        <f>(1/112*2240)*0.541666666666667</f>
        <v>10.833333333333339</v>
      </c>
      <c r="AR64" s="1">
        <f>(1/112*2240)*0.541673202614379</f>
        <v>10.83346405228758</v>
      </c>
      <c r="AS64" s="1">
        <v>6.9109219969437339</v>
      </c>
      <c r="AT64" s="1">
        <v>5.8983334494751603</v>
      </c>
    </row>
    <row r="65" spans="1:46" x14ac:dyDescent="0.25">
      <c r="A65" s="8">
        <f t="shared" si="2"/>
        <v>1898</v>
      </c>
      <c r="C65" s="17">
        <v>8.82</v>
      </c>
      <c r="D65" s="17">
        <v>9.4003178271388634</v>
      </c>
      <c r="E65" s="17"/>
      <c r="F65" s="17"/>
      <c r="G65" s="17"/>
      <c r="H65" s="1">
        <f>2240*0.00446428571428571</f>
        <v>9.9999999999999893</v>
      </c>
      <c r="I65" s="1">
        <f>2240*0.0017497947454844</f>
        <v>3.9195402298850559</v>
      </c>
      <c r="K65" s="1"/>
      <c r="L65" s="1">
        <v>7.2772048497331712</v>
      </c>
      <c r="M65" s="1">
        <v>11.295719844357977</v>
      </c>
      <c r="N65" s="1">
        <f>2240*0.00689052795031056</f>
        <v>15.434782608695654</v>
      </c>
      <c r="O65" s="1"/>
      <c r="P65" s="1"/>
      <c r="Q65" s="17">
        <v>16</v>
      </c>
      <c r="R65" s="1">
        <v>9.25</v>
      </c>
      <c r="S65" s="1"/>
      <c r="T65" s="1"/>
      <c r="U65" s="1"/>
      <c r="V65" s="1"/>
      <c r="W65" s="1">
        <v>13.969335604770016</v>
      </c>
      <c r="X65" s="3"/>
      <c r="Y65" s="1"/>
      <c r="Z65" s="1"/>
      <c r="AA65" s="17">
        <v>10.459183673469377</v>
      </c>
      <c r="AB65" s="3">
        <f>2240*0.00732600732600733</f>
        <v>16.410256410256419</v>
      </c>
      <c r="AC65" s="1"/>
      <c r="AD65" s="1"/>
      <c r="AF65" s="1"/>
      <c r="AG65" s="3"/>
      <c r="AH65" s="1"/>
      <c r="AI65" s="1"/>
      <c r="AK65" s="1"/>
      <c r="AL65" s="1">
        <v>8.7482947368421051</v>
      </c>
      <c r="AM65" s="1">
        <f>(1/112*2240)*0.410646467910837</f>
        <v>8.2129293582167389</v>
      </c>
      <c r="AN65" s="1"/>
      <c r="AO65" s="1">
        <f>(1/112*2240)*0.3675474506885</f>
        <v>7.3509490137699993</v>
      </c>
      <c r="AP65" s="1"/>
      <c r="AQ65" s="1">
        <f>(1/112*2240)*0.375</f>
        <v>7.5</v>
      </c>
      <c r="AR65" s="1">
        <f>(1/112*2240)*0.375</f>
        <v>7.5</v>
      </c>
      <c r="AS65" s="1">
        <v>5.7133133311422934</v>
      </c>
      <c r="AT65" s="1">
        <v>5.3438995636252002</v>
      </c>
    </row>
    <row r="66" spans="1:46" x14ac:dyDescent="0.25">
      <c r="A66" s="8">
        <f t="shared" si="2"/>
        <v>1899</v>
      </c>
      <c r="C66" s="17">
        <v>8.7100000000000009</v>
      </c>
      <c r="D66" s="17">
        <v>8.9073878527984593</v>
      </c>
      <c r="E66" s="17"/>
      <c r="F66" s="17"/>
      <c r="G66" s="17"/>
      <c r="H66" s="1">
        <f>2240*0.0038689576223595</f>
        <v>8.6664650740852807</v>
      </c>
      <c r="I66" s="1">
        <f>2240*0.00163686926800884</f>
        <v>3.6665871603398017</v>
      </c>
      <c r="K66" s="1"/>
      <c r="L66" s="1">
        <v>7.8532104182601339</v>
      </c>
      <c r="M66" s="1">
        <v>11.542275235313209</v>
      </c>
      <c r="N66" s="1">
        <f>2240*0.00483630952380952</f>
        <v>10.833333333333323</v>
      </c>
      <c r="O66" s="1"/>
      <c r="P66" s="1"/>
      <c r="Q66" s="17"/>
      <c r="R66" s="1">
        <v>8.5</v>
      </c>
      <c r="S66" s="1"/>
      <c r="T66" s="1"/>
      <c r="U66" s="1"/>
      <c r="V66" s="1"/>
      <c r="W66" s="1">
        <v>13.965822038892162</v>
      </c>
      <c r="X66" s="3"/>
      <c r="Y66" s="1"/>
      <c r="Z66" s="1"/>
      <c r="AA66" s="17">
        <v>10.633898305084735</v>
      </c>
      <c r="AB66" s="1"/>
      <c r="AC66" s="1"/>
      <c r="AD66" s="1"/>
      <c r="AF66" s="1"/>
      <c r="AG66" s="1"/>
      <c r="AH66" s="1"/>
      <c r="AI66" s="1"/>
      <c r="AK66" s="1"/>
      <c r="AL66" s="1"/>
      <c r="AM66" s="1">
        <f>(1/112*2240)*0.41826867613192</f>
        <v>8.3653735226384001</v>
      </c>
      <c r="AN66" s="1"/>
      <c r="AO66" s="1">
        <f>(1/112*2240)*0.386975681410152</f>
        <v>7.7395136282030395</v>
      </c>
      <c r="AP66" s="1"/>
      <c r="AQ66" s="1">
        <f>(1/112*2240)*0.4</f>
        <v>8</v>
      </c>
      <c r="AR66" s="1">
        <f>(1/112*2240)*0.4</f>
        <v>8</v>
      </c>
      <c r="AS66" s="1">
        <v>5.0584176867490225</v>
      </c>
      <c r="AT66" s="1">
        <v>5.56998588903443</v>
      </c>
    </row>
    <row r="67" spans="1:46" x14ac:dyDescent="0.25">
      <c r="A67" s="8">
        <f t="shared" si="2"/>
        <v>1900</v>
      </c>
      <c r="C67" s="17"/>
      <c r="D67" s="17"/>
      <c r="E67" s="17"/>
      <c r="F67" s="17"/>
      <c r="G67" s="17"/>
      <c r="H67" s="1">
        <f>2240*0.00386913091573041</f>
        <v>8.6668532512361178</v>
      </c>
      <c r="I67" s="1">
        <f>2240*0.00163683581223532</f>
        <v>3.6665122194071165</v>
      </c>
      <c r="K67" s="1"/>
      <c r="L67" s="1">
        <v>8.0524861060870148</v>
      </c>
      <c r="M67" s="1">
        <v>11.504891857506362</v>
      </c>
      <c r="N67" s="1">
        <f>2240*0.00467467159277504</f>
        <v>10.47126436781609</v>
      </c>
      <c r="O67" s="1"/>
      <c r="P67" s="1"/>
      <c r="Q67" s="17"/>
      <c r="R67" s="1">
        <v>9</v>
      </c>
      <c r="S67" s="1"/>
      <c r="T67" s="1"/>
      <c r="U67" s="1"/>
      <c r="V67" s="1"/>
      <c r="W67" s="1">
        <v>11.843393148450245</v>
      </c>
      <c r="X67" s="3"/>
      <c r="Y67" s="1"/>
      <c r="Z67" s="1"/>
      <c r="AA67" s="17">
        <v>10.006433823529402</v>
      </c>
      <c r="AB67" s="1"/>
      <c r="AC67" s="1"/>
      <c r="AD67" s="1"/>
      <c r="AE67" s="1"/>
      <c r="AF67" s="1"/>
      <c r="AH67" s="1"/>
      <c r="AI67" s="1"/>
      <c r="AK67" s="1"/>
      <c r="AL67" s="1"/>
      <c r="AM67" s="1">
        <f>(1/112*2240)*0.382340018677235</f>
        <v>7.6468003735446999</v>
      </c>
      <c r="AN67" s="1"/>
      <c r="AO67" s="1">
        <f>(1/112*2240)*0.261488673139159</f>
        <v>5.2297734627831804</v>
      </c>
      <c r="AP67" s="1"/>
      <c r="AR67" s="1"/>
      <c r="AS67" s="1">
        <v>5.1969100069870748</v>
      </c>
      <c r="AT67" s="1">
        <v>5.6768502878172669</v>
      </c>
    </row>
    <row r="68" spans="1:46" x14ac:dyDescent="0.25">
      <c r="A68" s="8">
        <f t="shared" si="2"/>
        <v>1901</v>
      </c>
      <c r="C68" s="17"/>
      <c r="D68" s="17"/>
      <c r="E68" s="17"/>
      <c r="F68" s="17">
        <f>2240*0.00753465943339361</f>
        <v>16.877637130801688</v>
      </c>
      <c r="G68" s="17"/>
      <c r="H68" s="1">
        <f>2240*0.00446397971074097</f>
        <v>9.9993145520597739</v>
      </c>
      <c r="I68" s="1">
        <f>2240*0.0017856905729386</f>
        <v>3.9999468833824636</v>
      </c>
      <c r="K68" s="1"/>
      <c r="L68" s="1">
        <v>7.484460864063629</v>
      </c>
      <c r="M68" s="1">
        <v>11.716443726937269</v>
      </c>
      <c r="N68" s="1">
        <f>2240*0.00405276087639615</f>
        <v>9.0781843631273755</v>
      </c>
      <c r="O68" s="1"/>
      <c r="P68" s="1"/>
      <c r="Q68" s="17">
        <v>15.925925925925926</v>
      </c>
      <c r="R68" s="1">
        <v>8</v>
      </c>
      <c r="S68" s="1"/>
      <c r="T68" s="1"/>
      <c r="U68" s="1"/>
      <c r="V68" s="1"/>
      <c r="W68" s="1">
        <v>9.9640933572710964</v>
      </c>
      <c r="X68" s="3"/>
      <c r="Y68" s="1"/>
      <c r="Z68" s="1"/>
      <c r="AA68" s="17">
        <v>10.337423312883427</v>
      </c>
      <c r="AB68" s="1"/>
      <c r="AC68" s="1"/>
      <c r="AD68" s="1"/>
      <c r="AE68" s="1"/>
      <c r="AF68" s="1"/>
      <c r="AG68" s="1"/>
      <c r="AH68" s="1"/>
      <c r="AI68" s="1"/>
      <c r="AK68" s="1"/>
      <c r="AL68" s="1">
        <v>7.9998278632086297</v>
      </c>
      <c r="AM68" s="1">
        <f>(1/112*2240)*0.43251046796248</f>
        <v>8.6502093592495992</v>
      </c>
      <c r="AN68" s="1"/>
      <c r="AO68" s="1">
        <f>(1/112*2240)*0.347301951779564</f>
        <v>6.94603903559128</v>
      </c>
      <c r="AP68" s="1"/>
      <c r="AR68" s="1"/>
      <c r="AS68" s="1">
        <v>5.8426308112715182</v>
      </c>
      <c r="AT68" s="1">
        <v>5.1326686741085048</v>
      </c>
    </row>
    <row r="69" spans="1:46" x14ac:dyDescent="0.25">
      <c r="A69" s="8">
        <f t="shared" si="2"/>
        <v>1902</v>
      </c>
      <c r="C69" s="17"/>
      <c r="D69" s="17"/>
      <c r="E69" s="17">
        <f>2240*0.0123456790123457</f>
        <v>27.654320987654366</v>
      </c>
      <c r="F69" s="17"/>
      <c r="G69" s="17"/>
      <c r="H69" s="1">
        <f>2240*0.00446421816877084</f>
        <v>9.9998486980466819</v>
      </c>
      <c r="I69" s="1">
        <f>2240*0.00178564263071305</f>
        <v>3.9998394927972321</v>
      </c>
      <c r="K69" s="1"/>
      <c r="L69" s="1">
        <v>6.9495219533720665</v>
      </c>
      <c r="M69" s="1">
        <v>12.162896925403224</v>
      </c>
      <c r="N69" s="1">
        <f>2240*0.00422327177527772</f>
        <v>9.4601287766220938</v>
      </c>
      <c r="O69" s="1"/>
      <c r="Q69" s="17">
        <v>16.279069767441861</v>
      </c>
      <c r="R69" s="1"/>
      <c r="S69" s="1"/>
      <c r="T69" s="1"/>
      <c r="U69" s="1"/>
      <c r="V69" s="1"/>
      <c r="W69" s="1">
        <v>9.9933199732798919</v>
      </c>
      <c r="X69" s="3"/>
      <c r="Y69" s="1"/>
      <c r="Z69" s="1"/>
      <c r="AA69" s="17">
        <v>10.239591516103683</v>
      </c>
      <c r="AB69" s="1"/>
      <c r="AC69" s="1">
        <f>2240*0.00725127597936014</f>
        <v>16.242858193766711</v>
      </c>
      <c r="AD69" s="1"/>
      <c r="AE69" s="1"/>
      <c r="AF69" s="1">
        <f>AVERAGE((1/112*2240)*1.20917678812416,(1/112*2240)*0.642375168690958)</f>
        <v>18.515519568151181</v>
      </c>
      <c r="AG69" s="1">
        <f>2240*0.00324239053892638</f>
        <v>7.2629548071950909</v>
      </c>
      <c r="AH69" s="1"/>
      <c r="AI69" s="1"/>
      <c r="AK69" s="1"/>
      <c r="AL69" s="1">
        <v>7.9997294966947869</v>
      </c>
      <c r="AM69" s="1">
        <f>(1/112*2240)*0.421734329285073</f>
        <v>8.4346865857014599</v>
      </c>
      <c r="AN69" s="1"/>
      <c r="AO69" s="1">
        <f>(1/112*2240)*0.382321618743344</f>
        <v>7.6464323748668805</v>
      </c>
      <c r="AP69" s="1"/>
      <c r="AR69" s="1"/>
      <c r="AS69" s="1">
        <v>5.9484006924269099</v>
      </c>
      <c r="AT69" s="1">
        <v>4.8725678803526025</v>
      </c>
    </row>
    <row r="70" spans="1:46" x14ac:dyDescent="0.25">
      <c r="A70" s="8">
        <f t="shared" si="2"/>
        <v>1903</v>
      </c>
      <c r="C70" s="17">
        <v>8.7200000000000006</v>
      </c>
      <c r="D70" s="17">
        <v>9.4880053938202362</v>
      </c>
      <c r="E70" s="17"/>
      <c r="F70" s="17"/>
      <c r="G70" s="17"/>
      <c r="H70" s="1">
        <f>2240*0.00446421302144032</f>
        <v>9.9998371680263158</v>
      </c>
      <c r="I70" s="1">
        <f>2240*0.00178575070730734</f>
        <v>4.0000815843684414</v>
      </c>
      <c r="K70" s="1"/>
      <c r="L70" s="1">
        <v>8.357512966940849</v>
      </c>
      <c r="M70" s="1">
        <v>10.171706116908458</v>
      </c>
      <c r="N70" s="1">
        <f>2240*0.00460502923514539</f>
        <v>10.315265486725673</v>
      </c>
      <c r="O70" s="1"/>
      <c r="Q70" s="17">
        <v>16.5</v>
      </c>
      <c r="R70" s="1"/>
      <c r="S70" s="1"/>
      <c r="T70" s="1"/>
      <c r="U70" s="1"/>
      <c r="V70" s="1"/>
      <c r="W70" s="1">
        <v>9.9903753609239647</v>
      </c>
      <c r="X70" s="3"/>
      <c r="Y70" s="1"/>
      <c r="Z70" s="1"/>
      <c r="AA70" s="17">
        <v>10.262308313155762</v>
      </c>
      <c r="AB70" s="1"/>
      <c r="AC70" s="1">
        <f>2240*0.00982116894748468</f>
        <v>21.99941844236568</v>
      </c>
      <c r="AD70" s="1">
        <f>(1/112*2240)*0.901086910906878</f>
        <v>18.02173821813756</v>
      </c>
      <c r="AE70" s="1">
        <f>(1/112*2240)*0.522407807510749</f>
        <v>10.448156150214981</v>
      </c>
      <c r="AG70" s="1"/>
      <c r="AH70" s="1"/>
      <c r="AI70" s="1"/>
      <c r="AK70" s="1"/>
      <c r="AL70" s="1">
        <v>8.8888675408681177</v>
      </c>
      <c r="AM70" s="1">
        <f>(1/112*2240)*0.469528026418702</f>
        <v>9.3905605283740403</v>
      </c>
      <c r="AN70" s="1"/>
      <c r="AP70" s="1"/>
      <c r="AR70" s="1"/>
      <c r="AS70" s="1">
        <v>5.2757019581059224</v>
      </c>
      <c r="AT70" s="1">
        <v>5.9476038538441527</v>
      </c>
    </row>
    <row r="71" spans="1:46" x14ac:dyDescent="0.25">
      <c r="A71" s="8">
        <f t="shared" si="2"/>
        <v>1904</v>
      </c>
      <c r="C71" s="17">
        <v>7.83</v>
      </c>
      <c r="D71" s="17">
        <v>8.2194860417162161</v>
      </c>
      <c r="E71" s="17"/>
      <c r="F71" s="17"/>
      <c r="G71" s="17"/>
      <c r="H71" s="1">
        <f>2240*0.00446413347947875</f>
        <v>9.9996589940323997</v>
      </c>
      <c r="I71" s="1">
        <f>2240*0.00193458068665101</f>
        <v>4.3334607380982622</v>
      </c>
      <c r="K71" s="1"/>
      <c r="L71" s="1">
        <v>7.5481194971215713</v>
      </c>
      <c r="M71" s="1">
        <v>9.997790854717346</v>
      </c>
      <c r="N71" s="1">
        <f>2240*0.00458238851095994</f>
        <v>10.264550264550266</v>
      </c>
      <c r="O71" s="1"/>
      <c r="Q71" s="17">
        <v>14.761904761904763</v>
      </c>
      <c r="R71" s="1"/>
      <c r="S71" s="1"/>
      <c r="T71" s="1"/>
      <c r="U71" s="1"/>
      <c r="V71" s="1"/>
      <c r="W71" s="1">
        <v>9.9970700263697623</v>
      </c>
      <c r="X71" s="1"/>
      <c r="Y71" s="1"/>
      <c r="Z71" s="1"/>
      <c r="AA71" s="17">
        <v>10.380132450331118</v>
      </c>
      <c r="AB71" s="1"/>
      <c r="AC71" s="1">
        <f>2240*0.0115533829290714</f>
        <v>25.879577761119936</v>
      </c>
      <c r="AD71" s="1">
        <f>(1/112*2240)*0.963370828714556</f>
        <v>19.267416574291122</v>
      </c>
      <c r="AE71" s="1">
        <f>AVERAGE((1/112*2240)*0.215879940953288,(1/112*2240)*0.337063969028552)</f>
        <v>5.5294390998183998</v>
      </c>
      <c r="AF71" s="1">
        <f>AVERAGE((1/112*2240)*1.42168062960142,(1/112*2240)*0.497588220360498)</f>
        <v>19.19268849961918</v>
      </c>
      <c r="AG71" s="1"/>
      <c r="AH71" s="1"/>
      <c r="AI71" s="1"/>
      <c r="AK71" s="1"/>
      <c r="AL71" s="1">
        <v>8.3333385650294609</v>
      </c>
      <c r="AM71" s="1">
        <f>(1/112*2240)*0.35782033037861</f>
        <v>7.1564066075722002</v>
      </c>
      <c r="AN71" s="1"/>
      <c r="AP71" s="1"/>
      <c r="AR71" s="1"/>
      <c r="AS71" s="1">
        <v>5.3996925583650039</v>
      </c>
      <c r="AT71" s="1">
        <v>5.1615829592743552</v>
      </c>
    </row>
    <row r="72" spans="1:46" x14ac:dyDescent="0.25">
      <c r="A72" s="8">
        <f t="shared" ref="A72:A135" si="3">A71+1</f>
        <v>1905</v>
      </c>
      <c r="C72" s="17">
        <v>8.27</v>
      </c>
      <c r="D72" s="17">
        <v>8.8014826096277119</v>
      </c>
      <c r="E72" s="17"/>
      <c r="F72" s="17"/>
      <c r="G72" s="17"/>
      <c r="H72" s="1">
        <f>2240*0.00476197561936506</f>
        <v>10.666825387377735</v>
      </c>
      <c r="I72" s="1">
        <f>2240*0.00186102864128536</f>
        <v>4.1687041564792064</v>
      </c>
      <c r="J72" s="1">
        <f>2240*0.00559440559440559</f>
        <v>12.531468531468521</v>
      </c>
      <c r="K72" s="1"/>
      <c r="L72" s="1">
        <v>7.8418128583329247</v>
      </c>
      <c r="M72" s="1">
        <v>10.612257924131429</v>
      </c>
      <c r="N72" s="1">
        <f>2240*0.0052528870829769</f>
        <v>11.766467065868255</v>
      </c>
      <c r="O72" s="1"/>
      <c r="P72" s="1"/>
      <c r="Q72" s="17"/>
      <c r="R72" s="1"/>
      <c r="S72" s="1"/>
      <c r="T72" s="1"/>
      <c r="U72" s="1"/>
      <c r="V72" s="1"/>
      <c r="W72" s="1">
        <v>10.016518004625041</v>
      </c>
      <c r="X72" s="1"/>
      <c r="Y72" s="1"/>
      <c r="Z72" s="1">
        <v>7.7540084388185653</v>
      </c>
      <c r="AA72" s="17">
        <v>8.4763670064874805</v>
      </c>
      <c r="AB72" s="1"/>
      <c r="AC72" s="1">
        <f>2240*0.00873883394151545</f>
        <v>19.574988028994611</v>
      </c>
      <c r="AD72" s="1"/>
      <c r="AE72" s="1">
        <f>(1/112*2240)*0.615384615384615</f>
        <v>12.307692307692299</v>
      </c>
      <c r="AF72" s="1"/>
      <c r="AG72" s="1"/>
      <c r="AH72" s="1"/>
      <c r="AI72" s="1"/>
      <c r="AJ72" s="3"/>
      <c r="AK72" s="1"/>
      <c r="AL72" s="1">
        <v>9.7778315767658057</v>
      </c>
      <c r="AM72" s="1">
        <f>(1/112*2240)*0.35</f>
        <v>7</v>
      </c>
      <c r="AN72" s="1"/>
      <c r="AP72" s="1"/>
      <c r="AS72" s="1">
        <v>5.2573996298640449</v>
      </c>
      <c r="AT72" s="1">
        <v>5.5816676051090255</v>
      </c>
    </row>
    <row r="73" spans="1:46" x14ac:dyDescent="0.25">
      <c r="A73" s="8">
        <f t="shared" si="3"/>
        <v>1906</v>
      </c>
      <c r="C73" s="17">
        <v>8.68</v>
      </c>
      <c r="D73" s="17">
        <v>9.8068788451468585</v>
      </c>
      <c r="E73" s="17"/>
      <c r="F73" s="17"/>
      <c r="G73" s="17"/>
      <c r="H73" s="1">
        <f>2240*0.0018851401179941</f>
        <v>4.2227138643067841</v>
      </c>
      <c r="I73" s="1">
        <f>2240*0.00188493160786049</f>
        <v>4.2222468016074979</v>
      </c>
      <c r="J73" s="1">
        <f>2240*0.00734265734265734</f>
        <v>16.44755244755244</v>
      </c>
      <c r="K73" s="1"/>
      <c r="L73" s="1">
        <v>8.1843705339742758</v>
      </c>
      <c r="M73" s="1">
        <v>9.6109863528052557</v>
      </c>
      <c r="N73" s="1">
        <f>2240*0.00563446237390662</f>
        <v>12.621195717550828</v>
      </c>
      <c r="O73" s="1"/>
      <c r="P73" s="1"/>
      <c r="Q73" s="17"/>
      <c r="R73" s="1"/>
      <c r="S73" s="1"/>
      <c r="T73" s="1"/>
      <c r="U73" s="1"/>
      <c r="V73" s="1"/>
      <c r="W73" s="1">
        <v>10</v>
      </c>
      <c r="X73" s="1"/>
      <c r="Y73" s="1"/>
      <c r="Z73" s="1">
        <v>10.599746789654549</v>
      </c>
      <c r="AA73" s="17">
        <v>10.306122448979583</v>
      </c>
      <c r="AB73" s="1"/>
      <c r="AC73" s="1">
        <f>2240*0.0097757392294603</f>
        <v>21.897655873991074</v>
      </c>
      <c r="AD73" s="1"/>
      <c r="AE73" s="1"/>
      <c r="AF73" s="1"/>
      <c r="AG73" s="1">
        <f>2240*0.00333640300557067</f>
        <v>7.4735427324783013</v>
      </c>
      <c r="AH73" s="1"/>
      <c r="AI73" s="1">
        <f>2240*0.0043606056246642</f>
        <v>9.7677565992478073</v>
      </c>
      <c r="AJ73" s="1">
        <f>2240*0.00470034327465121</f>
        <v>10.528768935218711</v>
      </c>
      <c r="AK73" s="1"/>
      <c r="AL73" s="1">
        <v>12.333338542724823</v>
      </c>
      <c r="AM73" s="1">
        <f>(1/112*2240)*0.4</f>
        <v>8</v>
      </c>
      <c r="AN73" s="1"/>
      <c r="AO73" s="1">
        <f>(1/112*2240)*0.557409224730128</f>
        <v>11.14818449460256</v>
      </c>
      <c r="AP73" s="1"/>
      <c r="AQ73" s="1">
        <f>(1/112*2240)*0.488402758993779</f>
        <v>9.7680551798755797</v>
      </c>
      <c r="AS73" s="1">
        <v>6.8502218719548713</v>
      </c>
      <c r="AT73" s="1">
        <v>6.2739586176951585</v>
      </c>
    </row>
    <row r="74" spans="1:46" x14ac:dyDescent="0.25">
      <c r="A74" s="8">
        <f t="shared" si="3"/>
        <v>1907</v>
      </c>
      <c r="C74" s="17">
        <v>9.68</v>
      </c>
      <c r="D74" s="17">
        <v>10.772960587892795</v>
      </c>
      <c r="E74" s="17">
        <f>2240*0.00595238095238095</f>
        <v>13.333333333333329</v>
      </c>
      <c r="F74" s="17"/>
      <c r="G74" s="17"/>
      <c r="H74" s="1">
        <f>2240*0.00595238095238095</f>
        <v>13.333333333333329</v>
      </c>
      <c r="I74" s="3">
        <f>2240*0.00280209772406486</f>
        <v>6.2766989019052861</v>
      </c>
      <c r="J74" s="1">
        <f>2240*0.00188730547407364</f>
        <v>4.2275642619249538</v>
      </c>
      <c r="K74" s="1"/>
      <c r="L74" s="1">
        <v>9.0576281755196302</v>
      </c>
      <c r="M74" s="1">
        <v>11.111117861482382</v>
      </c>
      <c r="N74" s="1">
        <f>2240*0.00569763686578467</f>
        <v>12.762706579357662</v>
      </c>
      <c r="O74" s="1"/>
      <c r="P74" s="1"/>
      <c r="Q74" s="17"/>
      <c r="R74" s="1"/>
      <c r="S74" s="1"/>
      <c r="T74" s="1"/>
      <c r="U74" s="1">
        <v>14.251401120896718</v>
      </c>
      <c r="V74" s="1"/>
      <c r="W74" s="1">
        <v>10.397753860552177</v>
      </c>
      <c r="X74" s="1"/>
      <c r="Y74" s="1"/>
      <c r="Z74" s="1">
        <v>11.286415042921378</v>
      </c>
      <c r="AA74" s="17">
        <v>10.281288723667895</v>
      </c>
      <c r="AB74" s="1"/>
      <c r="AC74" s="1">
        <f>2240*0.00974170161212964</f>
        <v>21.821411611170394</v>
      </c>
      <c r="AD74" s="1"/>
      <c r="AE74" s="1"/>
      <c r="AF74" s="1"/>
      <c r="AG74" s="1">
        <f>2240*0.00321431512439175</f>
        <v>7.2000658786375205</v>
      </c>
      <c r="AH74" s="1"/>
      <c r="AI74" s="1">
        <f>2240*0.0044890340706906</f>
        <v>10.055436318346946</v>
      </c>
      <c r="AJ74" s="1">
        <f>2240*0.00478211299721307</f>
        <v>10.711933113757276</v>
      </c>
      <c r="AK74" s="1"/>
      <c r="AL74" s="1">
        <v>14.673561100351616</v>
      </c>
      <c r="AM74" s="1">
        <f>(1/112*2240)*0.458333333333333</f>
        <v>9.166666666666659</v>
      </c>
      <c r="AN74" s="1"/>
      <c r="AO74" s="1">
        <f>(1/112*2240)*0.677368086458996</f>
        <v>13.54736172917992</v>
      </c>
      <c r="AP74" s="1"/>
      <c r="AQ74" s="1">
        <f>(1/112*2240)*0.581138002427358</f>
        <v>11.62276004854716</v>
      </c>
      <c r="AS74" s="1">
        <v>8.7143085606351267</v>
      </c>
      <c r="AT74" s="1">
        <v>7.0582989239590042</v>
      </c>
    </row>
    <row r="75" spans="1:46" x14ac:dyDescent="0.25">
      <c r="A75" s="8">
        <f t="shared" si="3"/>
        <v>1908</v>
      </c>
      <c r="C75" s="17">
        <v>9.15</v>
      </c>
      <c r="D75" s="17">
        <v>10.139318228440866</v>
      </c>
      <c r="E75" s="17">
        <f>2240*0.00595238095238095</f>
        <v>13.333333333333329</v>
      </c>
      <c r="F75" s="17">
        <f>2240*0.00477867203219316</f>
        <v>10.704225352112678</v>
      </c>
      <c r="G75" s="17"/>
      <c r="H75" s="1">
        <f>2240*0.00654703318335208</f>
        <v>14.665354330708659</v>
      </c>
      <c r="I75" s="3">
        <f>2240*0.0029761174247073</f>
        <v>6.6665030313443525</v>
      </c>
      <c r="J75" s="3">
        <f>2240*0.00248254356931174</f>
        <v>5.5608975952582975</v>
      </c>
      <c r="K75" s="1"/>
      <c r="L75" s="1">
        <v>8.8749446010197701</v>
      </c>
      <c r="M75" s="1">
        <v>11.971509150162946</v>
      </c>
      <c r="N75" s="3"/>
      <c r="O75" s="1"/>
      <c r="P75" s="1"/>
      <c r="Q75" s="17">
        <v>20</v>
      </c>
      <c r="R75" s="1"/>
      <c r="S75" s="1"/>
      <c r="T75" s="1"/>
      <c r="U75" s="1"/>
      <c r="W75" s="1">
        <v>11.541593160537387</v>
      </c>
      <c r="X75" s="1"/>
      <c r="Y75" s="1"/>
      <c r="Z75" s="1">
        <v>12.933288500336248</v>
      </c>
      <c r="AA75" s="17">
        <v>10.361702127659566</v>
      </c>
      <c r="AB75" s="1"/>
      <c r="AC75" s="1">
        <f>2240*0.00874425439666608</f>
        <v>19.587129848532019</v>
      </c>
      <c r="AD75" s="1">
        <f>(1/112*2240)*0.666666666666667</f>
        <v>13.333333333333339</v>
      </c>
      <c r="AE75" s="1"/>
      <c r="AF75" s="1"/>
      <c r="AG75" s="1">
        <f>2240*0.00318619956439325</f>
        <v>7.1370870242408797</v>
      </c>
      <c r="AH75" s="1"/>
      <c r="AI75" s="1">
        <f>2240*0.00437803030307967</f>
        <v>9.8067878788984597</v>
      </c>
      <c r="AJ75" s="1">
        <f>2240*0.00427516926932513</f>
        <v>9.5763791632882906</v>
      </c>
      <c r="AK75" s="3">
        <f>2240*0.00476466993736634</f>
        <v>10.672860659700602</v>
      </c>
      <c r="AL75" s="1">
        <v>20.168544925852192</v>
      </c>
      <c r="AM75" s="1">
        <f>(1/112*2240)*0.45</f>
        <v>9</v>
      </c>
      <c r="AN75" s="1"/>
      <c r="AO75" s="1">
        <f>(1/112*2240)*0.502900905082386</f>
        <v>10.058018101647722</v>
      </c>
      <c r="AP75" s="1"/>
      <c r="AQ75" s="1">
        <f>(1/112*2240)*0.587498603646654</f>
        <v>11.74997207293308</v>
      </c>
      <c r="AS75" s="1">
        <v>8.7669677266104014</v>
      </c>
      <c r="AT75" s="1">
        <v>6.9448209110212495</v>
      </c>
    </row>
    <row r="76" spans="1:46" x14ac:dyDescent="0.25">
      <c r="A76" s="8">
        <f t="shared" si="3"/>
        <v>1909</v>
      </c>
      <c r="C76" s="17">
        <v>8.83</v>
      </c>
      <c r="D76" s="17">
        <v>9.9958562243520337</v>
      </c>
      <c r="E76" s="17">
        <f>2240*0.00649350649350649</f>
        <v>14.545454545454536</v>
      </c>
      <c r="F76" s="17"/>
      <c r="G76" s="17"/>
      <c r="H76" s="1">
        <f>2240*0.00595238095238095</f>
        <v>13.333333333333329</v>
      </c>
      <c r="I76" s="1">
        <f>2240*0.00297619047619048</f>
        <v>6.666666666666675</v>
      </c>
      <c r="J76" s="1"/>
      <c r="K76" s="1"/>
      <c r="L76" s="1">
        <v>8.1426815712569702</v>
      </c>
      <c r="M76" s="1">
        <v>11.690805429240733</v>
      </c>
      <c r="N76" s="1">
        <f>2240*0.00578987787099845</f>
        <v>12.969326431036528</v>
      </c>
      <c r="O76" s="1"/>
      <c r="P76" s="1"/>
      <c r="Q76" s="17">
        <v>20</v>
      </c>
      <c r="R76" s="1"/>
      <c r="S76" s="1"/>
      <c r="T76" s="1"/>
      <c r="U76" s="1"/>
      <c r="V76" s="1"/>
      <c r="W76" s="1">
        <v>11.135623869801085</v>
      </c>
      <c r="X76" s="1"/>
      <c r="Y76" s="1"/>
      <c r="Z76" s="1"/>
      <c r="AA76" s="17">
        <v>10.229793977812987</v>
      </c>
      <c r="AB76" s="1"/>
      <c r="AC76" s="1">
        <f>2240*0.00800875286689485</f>
        <v>17.939606421844463</v>
      </c>
      <c r="AD76" s="1"/>
      <c r="AE76" s="1"/>
      <c r="AF76" s="1"/>
      <c r="AG76" s="1">
        <f>2240*0.00297934652665833</f>
        <v>6.6737362197146597</v>
      </c>
      <c r="AH76" s="1"/>
      <c r="AI76" s="1">
        <f>2240*0.00379446285121882</f>
        <v>8.4995967867301569</v>
      </c>
      <c r="AJ76" s="1">
        <f>2240*0.0046455709859893</f>
        <v>10.406079008616031</v>
      </c>
      <c r="AK76" s="3">
        <f>2240*0.0047924389106558</f>
        <v>10.735063159868993</v>
      </c>
      <c r="AL76" s="1">
        <v>11.666666666666668</v>
      </c>
      <c r="AM76" s="1">
        <f>(1/112*2240)*0.455</f>
        <v>9.1</v>
      </c>
      <c r="AN76" s="1"/>
      <c r="AO76" s="1">
        <f>(1/112*2240)*0.593573541274536</f>
        <v>11.87147082549072</v>
      </c>
      <c r="AP76" s="1"/>
      <c r="AQ76" s="1">
        <f>(1/112*2240)*0.332659135834744</f>
        <v>6.6531827166948796</v>
      </c>
      <c r="AR76" s="1">
        <f>(1/112*2240)*0.643865363735071</f>
        <v>12.877307274701419</v>
      </c>
      <c r="AS76" s="1">
        <v>7.974917970299729</v>
      </c>
      <c r="AT76" s="1">
        <v>5.922744172725654</v>
      </c>
    </row>
    <row r="77" spans="1:46" x14ac:dyDescent="0.25">
      <c r="A77" s="8">
        <f t="shared" si="3"/>
        <v>1910</v>
      </c>
      <c r="C77" s="17">
        <v>8.59</v>
      </c>
      <c r="D77" s="17">
        <v>9.2642174317075643</v>
      </c>
      <c r="E77" s="17">
        <f>2240*0.00597020245223838</f>
        <v>13.373253493013973</v>
      </c>
      <c r="F77" s="17"/>
      <c r="G77" s="17"/>
      <c r="H77" s="1">
        <f>2240*0.00595238095238095</f>
        <v>13.333333333333329</v>
      </c>
      <c r="I77" s="1">
        <f>2240*0.00297630873384837</f>
        <v>6.6669315638203486</v>
      </c>
      <c r="J77" s="1"/>
      <c r="K77" s="1"/>
      <c r="L77" s="1">
        <v>8.0960159362549788</v>
      </c>
      <c r="M77" s="1">
        <v>10.148519109384754</v>
      </c>
      <c r="N77" s="1">
        <f>2240*0.00519335598322822</f>
        <v>11.633117402431214</v>
      </c>
      <c r="O77" s="1"/>
      <c r="P77" s="1"/>
      <c r="Q77" s="17">
        <v>20</v>
      </c>
      <c r="R77" s="1"/>
      <c r="S77" s="1">
        <v>10.015331440338924</v>
      </c>
      <c r="T77" s="1"/>
      <c r="U77" s="1">
        <v>9.0243902439024382</v>
      </c>
      <c r="V77" s="1"/>
      <c r="W77" s="1"/>
      <c r="X77" s="1"/>
      <c r="Y77" s="1"/>
      <c r="Z77" s="1">
        <v>12.380202179335697</v>
      </c>
      <c r="AA77" s="17">
        <v>10.165228113440186</v>
      </c>
      <c r="AB77" s="1"/>
      <c r="AC77" s="1">
        <f>2240*0.00797250872401173</f>
        <v>17.858419541786276</v>
      </c>
      <c r="AD77" s="1"/>
      <c r="AE77" s="1"/>
      <c r="AF77" s="1"/>
      <c r="AG77" s="1">
        <f>2240*0.00335899791321421</f>
        <v>7.5241553255998301</v>
      </c>
      <c r="AH77" s="1"/>
      <c r="AI77" s="1">
        <f>2240*0.00378339676645022</f>
        <v>8.4748087568484927</v>
      </c>
      <c r="AJ77" s="1">
        <f>2240*0.00490332452357769</f>
        <v>10.983446932814024</v>
      </c>
      <c r="AK77" s="3">
        <f>2240*0.00405778644900026</f>
        <v>9.0894416457605818</v>
      </c>
      <c r="AL77" s="1">
        <v>9.1110879673179781</v>
      </c>
      <c r="AM77" s="1">
        <f>(1/112*2240)*0.506104783599089</f>
        <v>10.122095671981779</v>
      </c>
      <c r="AN77" s="1">
        <f>(1/112*2240)*0.45</f>
        <v>9</v>
      </c>
      <c r="AO77" s="1">
        <f>(1/112*2240)*0.547948164146868</f>
        <v>10.95896328293736</v>
      </c>
      <c r="AP77" s="1"/>
      <c r="AQ77" s="1">
        <f>(1/112*2240)*0.538615441266724</f>
        <v>10.772308825334481</v>
      </c>
      <c r="AR77" s="1">
        <f>(1/112*2240)*0.446836268754077</f>
        <v>8.9367253750815401</v>
      </c>
      <c r="AS77" s="1">
        <v>5.0062479620664897</v>
      </c>
      <c r="AT77" s="1">
        <v>5.6534860716323223</v>
      </c>
    </row>
    <row r="78" spans="1:46" x14ac:dyDescent="0.25">
      <c r="A78" s="8">
        <f t="shared" si="3"/>
        <v>1911</v>
      </c>
      <c r="C78" s="17">
        <v>9.27</v>
      </c>
      <c r="D78" s="17">
        <v>9.7612240425888448</v>
      </c>
      <c r="E78" s="17">
        <f>2240*0.00547619047619048</f>
        <v>12.266666666666675</v>
      </c>
      <c r="F78" s="17"/>
      <c r="G78" s="17"/>
      <c r="H78" s="1">
        <f>2240*0.00595238095238095</f>
        <v>13.333333333333329</v>
      </c>
      <c r="I78" s="3">
        <f>2240*0.00297610587485229</f>
        <v>6.6664771596691299</v>
      </c>
      <c r="J78" s="1"/>
      <c r="K78" s="1"/>
      <c r="L78" s="1">
        <v>8.7918264733395688</v>
      </c>
      <c r="M78" s="1">
        <v>9.8340637182416994</v>
      </c>
      <c r="N78" s="1">
        <f>2240*0.0068865829539836</f>
        <v>15.425945816923264</v>
      </c>
      <c r="O78" s="1"/>
      <c r="P78" s="1"/>
      <c r="Q78" s="17">
        <v>20</v>
      </c>
      <c r="R78" s="1"/>
      <c r="S78" s="1">
        <v>10.585101642720639</v>
      </c>
      <c r="T78" s="1">
        <v>3.4770514603616132</v>
      </c>
      <c r="U78" s="1"/>
      <c r="V78" s="1"/>
      <c r="W78" s="1"/>
      <c r="X78" s="1"/>
      <c r="Y78" s="1"/>
      <c r="Z78" s="1"/>
      <c r="AA78" s="17">
        <v>10.001851851851853</v>
      </c>
      <c r="AB78" s="1"/>
      <c r="AC78" s="1">
        <f>2240*0.0100338074532089</f>
        <v>22.475728695187936</v>
      </c>
      <c r="AD78" s="1"/>
      <c r="AE78" s="1"/>
      <c r="AF78" s="1"/>
      <c r="AG78" s="1"/>
      <c r="AH78" s="1"/>
      <c r="AI78" s="1"/>
      <c r="AK78" s="1"/>
      <c r="AL78" s="1">
        <v>9.7902429389689907</v>
      </c>
      <c r="AM78" s="1">
        <f>(1/112*2240)*0.555382286146858</f>
        <v>11.107645722937161</v>
      </c>
      <c r="AN78" s="1"/>
      <c r="AO78" s="1">
        <f>(1/112*2240)*0.356179775280899</f>
        <v>7.1235955056179803</v>
      </c>
      <c r="AP78" s="1"/>
      <c r="AQ78" s="1">
        <f>(1/112*2240)*0.52574928087594</f>
        <v>10.5149856175188</v>
      </c>
      <c r="AR78" s="1">
        <f>(1/112*2240)*0.584293807384255</f>
        <v>11.6858761476851</v>
      </c>
      <c r="AS78" s="1">
        <v>6.0283183692320117</v>
      </c>
      <c r="AT78" s="1">
        <v>7.1617688166944831</v>
      </c>
    </row>
    <row r="79" spans="1:46" x14ac:dyDescent="0.25">
      <c r="A79" s="8">
        <f t="shared" si="3"/>
        <v>1912</v>
      </c>
      <c r="C79" s="17">
        <v>11.3</v>
      </c>
      <c r="D79" s="17">
        <v>12.473587498789112</v>
      </c>
      <c r="E79" s="17">
        <f>2240*0.00901300236406619</f>
        <v>20.189125295508266</v>
      </c>
      <c r="F79" s="17"/>
      <c r="G79" s="17"/>
      <c r="H79" s="1">
        <f>2240*0.00595238095238095</f>
        <v>13.333333333333329</v>
      </c>
      <c r="I79" s="3">
        <f>2240*0.00327397632313071</f>
        <v>7.3337069638127907</v>
      </c>
      <c r="J79" s="1"/>
      <c r="K79" s="1"/>
      <c r="L79" s="1">
        <v>10.798970648185893</v>
      </c>
      <c r="M79" s="1">
        <v>11.477137856972396</v>
      </c>
      <c r="N79" s="1">
        <f>2240*0.00714285714285714</f>
        <v>15.999999999999993</v>
      </c>
      <c r="O79" s="1"/>
      <c r="P79" s="1"/>
      <c r="Q79" s="1"/>
      <c r="R79" s="1"/>
      <c r="S79" s="1"/>
      <c r="U79" s="1"/>
      <c r="V79" s="1"/>
      <c r="W79" s="1"/>
      <c r="X79" s="1"/>
      <c r="Y79" s="1"/>
      <c r="Z79" s="1"/>
      <c r="AA79" s="17">
        <v>9.9773684210526312</v>
      </c>
      <c r="AB79" s="1"/>
      <c r="AC79" s="1">
        <f>2240*0.0136126155562376</f>
        <v>30.492258845972223</v>
      </c>
      <c r="AD79" s="1"/>
      <c r="AE79" s="1"/>
      <c r="AF79" s="1"/>
      <c r="AG79" s="1"/>
      <c r="AH79" s="1"/>
      <c r="AI79" s="1"/>
      <c r="AJ79" s="1"/>
      <c r="AK79" s="1"/>
      <c r="AL79" s="1">
        <v>10.141817551762973</v>
      </c>
      <c r="AM79" s="1"/>
      <c r="AN79" s="1"/>
      <c r="AO79" s="1">
        <f>(1/112*2240)*0.595788043478261</f>
        <v>11.915760869565219</v>
      </c>
      <c r="AP79" s="1"/>
      <c r="AQ79" s="1">
        <f>(1/112*2240)*0.64510272555959</f>
        <v>12.9020545111918</v>
      </c>
      <c r="AR79" s="1">
        <f>(1/112*2240)*0.523524522028263</f>
        <v>10.470490440565261</v>
      </c>
      <c r="AS79" s="1">
        <v>6.9305741659106532</v>
      </c>
      <c r="AT79" s="1">
        <v>8.3753396253158368</v>
      </c>
    </row>
    <row r="80" spans="1:46" x14ac:dyDescent="0.25">
      <c r="A80" s="8">
        <f t="shared" si="3"/>
        <v>1913</v>
      </c>
      <c r="C80" s="17">
        <v>10.56</v>
      </c>
      <c r="D80" s="17">
        <v>11.782113793657098</v>
      </c>
      <c r="E80" s="1"/>
      <c r="F80" s="17"/>
      <c r="G80" s="1"/>
      <c r="H80" s="1">
        <f>2240*0.00595238095238095</f>
        <v>13.333333333333329</v>
      </c>
      <c r="I80" s="1">
        <f>2240*0.00356030262572319</f>
        <v>7.9750778816199457</v>
      </c>
      <c r="K80" s="1"/>
      <c r="L80" s="1">
        <v>9.4288302553810457</v>
      </c>
      <c r="M80" s="1">
        <v>12.039325150768708</v>
      </c>
      <c r="N80" s="1">
        <f>2240*0.00552184611301462</f>
        <v>12.368935293152749</v>
      </c>
      <c r="P80" s="1"/>
      <c r="Q80" s="1"/>
      <c r="R80" s="1"/>
      <c r="S80" s="1"/>
      <c r="T80" s="1"/>
      <c r="U80" s="1"/>
      <c r="W80" s="1"/>
      <c r="X80" s="1"/>
      <c r="Y80" s="1"/>
      <c r="Z80" s="1"/>
      <c r="AA80" s="17">
        <v>10.033946488294315</v>
      </c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>
        <v>10.467568138601312</v>
      </c>
      <c r="AM80" s="1"/>
      <c r="AN80" s="1"/>
      <c r="AP80" s="1"/>
      <c r="AR80" s="1"/>
      <c r="AS80" s="1">
        <v>7.5077055769126764</v>
      </c>
      <c r="AT80" s="1">
        <v>6.7763577880668295</v>
      </c>
    </row>
    <row r="81" spans="1:46" x14ac:dyDescent="0.25">
      <c r="A81" s="8">
        <f t="shared" si="3"/>
        <v>1914</v>
      </c>
      <c r="C81" s="17"/>
      <c r="D81" s="17">
        <v>10.796807864392488</v>
      </c>
      <c r="E81" s="1"/>
      <c r="F81" s="17"/>
      <c r="G81" s="1"/>
      <c r="H81" s="1"/>
      <c r="I81" s="1"/>
      <c r="J81" s="1"/>
      <c r="K81" s="1"/>
      <c r="L81" s="1"/>
      <c r="M81" s="1"/>
      <c r="N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>
        <v>5.1293626234694747</v>
      </c>
      <c r="AT81" s="1">
        <v>5.7118055555555562</v>
      </c>
    </row>
    <row r="82" spans="1:46" x14ac:dyDescent="0.25">
      <c r="A82" s="8">
        <f t="shared" si="3"/>
        <v>1915</v>
      </c>
      <c r="C82" s="17"/>
      <c r="D82" s="17">
        <v>11.850360161990087</v>
      </c>
      <c r="E82" s="1"/>
      <c r="F82" s="17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>
        <v>5.3536185854752993</v>
      </c>
      <c r="AT82" s="1">
        <v>7.588541666666667</v>
      </c>
    </row>
    <row r="83" spans="1:46" x14ac:dyDescent="0.25">
      <c r="A83" s="8">
        <f t="shared" si="3"/>
        <v>1916</v>
      </c>
      <c r="C83" s="17"/>
      <c r="D83" s="17">
        <v>16.720349164565679</v>
      </c>
      <c r="E83" s="1"/>
      <c r="F83" s="17"/>
      <c r="G83" s="1"/>
      <c r="H83" s="1"/>
      <c r="I83" s="1"/>
      <c r="J83" s="1"/>
      <c r="K83" s="1"/>
      <c r="L83" s="1"/>
      <c r="M83" s="1"/>
      <c r="N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>
        <v>5.4676347320569336</v>
      </c>
      <c r="AT83" s="1">
        <v>8.60647627313889</v>
      </c>
    </row>
    <row r="84" spans="1:46" x14ac:dyDescent="0.25">
      <c r="A84" s="8">
        <f t="shared" si="3"/>
        <v>1917</v>
      </c>
      <c r="C84" s="17"/>
      <c r="D84" s="17">
        <v>20.354333570002964</v>
      </c>
      <c r="E84" s="1"/>
      <c r="F84" s="17"/>
      <c r="G84" s="1"/>
      <c r="H84" s="1"/>
      <c r="I84" s="1"/>
      <c r="J84" s="1"/>
      <c r="K84" s="1"/>
      <c r="L84" s="1"/>
      <c r="M84" s="1"/>
      <c r="N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>
        <v>4.9457100320785736</v>
      </c>
      <c r="AT84" s="1">
        <v>11.123263888888888</v>
      </c>
    </row>
    <row r="85" spans="1:46" x14ac:dyDescent="0.25">
      <c r="A85" s="8">
        <f t="shared" si="3"/>
        <v>1918</v>
      </c>
      <c r="C85" s="17"/>
      <c r="D85" s="17">
        <v>32.643729189789127</v>
      </c>
      <c r="E85" s="1"/>
      <c r="F85" s="17"/>
      <c r="G85" s="1"/>
      <c r="H85" s="1"/>
      <c r="I85" s="1"/>
      <c r="J85" s="1"/>
      <c r="K85" s="1"/>
      <c r="L85" s="1"/>
      <c r="M85" s="1"/>
      <c r="N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>
        <v>3.8787878787878789</v>
      </c>
      <c r="AT85" s="1">
        <v>11.592881944444445</v>
      </c>
    </row>
    <row r="86" spans="1:46" x14ac:dyDescent="0.25">
      <c r="A86" s="8">
        <f t="shared" si="3"/>
        <v>1919</v>
      </c>
      <c r="C86" s="17"/>
      <c r="D86" s="17">
        <v>27.625954141957074</v>
      </c>
      <c r="E86" s="1"/>
      <c r="F86" s="17"/>
      <c r="G86" s="1"/>
      <c r="H86" s="1"/>
      <c r="I86" s="1"/>
      <c r="J86" s="1"/>
      <c r="K86" s="1"/>
      <c r="L86" s="1"/>
      <c r="M86" s="1"/>
      <c r="N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>
        <v>6.2622874701322644</v>
      </c>
      <c r="AT86" s="1">
        <v>14.801118026740433</v>
      </c>
    </row>
    <row r="87" spans="1:46" x14ac:dyDescent="0.25">
      <c r="A87" s="8">
        <f t="shared" si="3"/>
        <v>1920</v>
      </c>
      <c r="C87" s="17"/>
      <c r="D87" s="17">
        <v>43.575690247028042</v>
      </c>
      <c r="E87" s="1"/>
      <c r="F87" s="17"/>
      <c r="G87" s="1"/>
      <c r="H87" s="1"/>
      <c r="I87" s="1"/>
      <c r="J87" s="1"/>
      <c r="K87" s="1"/>
      <c r="L87" s="1"/>
      <c r="M87" s="1"/>
      <c r="N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>
        <v>8.8332105831042433</v>
      </c>
      <c r="AT87" s="1">
        <v>15.533351117189225</v>
      </c>
    </row>
    <row r="88" spans="1:46" x14ac:dyDescent="0.25">
      <c r="A88" s="8">
        <f t="shared" si="3"/>
        <v>1921</v>
      </c>
      <c r="C88" s="17"/>
      <c r="D88" s="17"/>
      <c r="E88" s="1"/>
      <c r="F88" s="17"/>
      <c r="G88" s="1"/>
      <c r="H88" s="1"/>
      <c r="I88" s="1"/>
      <c r="J88" s="1"/>
      <c r="K88" s="1"/>
      <c r="L88" s="1"/>
      <c r="M88" s="1"/>
      <c r="N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>
        <v>6.9042376893939386</v>
      </c>
      <c r="AT88" s="1">
        <v>12.822916666666668</v>
      </c>
    </row>
    <row r="89" spans="1:46" x14ac:dyDescent="0.25">
      <c r="A89" s="8">
        <f t="shared" si="3"/>
        <v>1922</v>
      </c>
      <c r="C89" s="17"/>
      <c r="D89" s="17"/>
      <c r="E89" s="1"/>
      <c r="F89" s="17"/>
      <c r="G89" s="1"/>
      <c r="H89" s="1"/>
      <c r="I89" s="1"/>
      <c r="J89" s="1"/>
      <c r="K89" s="1"/>
      <c r="L89" s="1"/>
      <c r="M89" s="1"/>
      <c r="N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>
        <v>6.4655539772727275</v>
      </c>
    </row>
    <row r="90" spans="1:46" x14ac:dyDescent="0.25">
      <c r="A90" s="8">
        <f t="shared" si="3"/>
        <v>1923</v>
      </c>
      <c r="C90" s="17"/>
      <c r="D90" s="17"/>
      <c r="E90" s="1"/>
      <c r="F90" s="17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>
        <v>5.5517578125</v>
      </c>
    </row>
    <row r="91" spans="1:46" x14ac:dyDescent="0.25">
      <c r="A91" s="8">
        <f t="shared" si="3"/>
        <v>1924</v>
      </c>
      <c r="C91" s="17"/>
      <c r="D91" s="17"/>
      <c r="E91" s="1"/>
      <c r="F91" s="17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>
        <v>5.856001420454545</v>
      </c>
    </row>
    <row r="92" spans="1:46" x14ac:dyDescent="0.25">
      <c r="A92" s="8">
        <f t="shared" si="3"/>
        <v>1925</v>
      </c>
      <c r="C92" s="17"/>
      <c r="D92" s="17"/>
      <c r="E92" s="1"/>
      <c r="F92" s="17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>
        <v>6.9208984375</v>
      </c>
    </row>
    <row r="93" spans="1:46" x14ac:dyDescent="0.25">
      <c r="A93" s="8">
        <f t="shared" si="3"/>
        <v>1926</v>
      </c>
      <c r="C93" s="17"/>
      <c r="D93" s="17"/>
      <c r="E93" s="1"/>
      <c r="F93" s="17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>
        <v>6.7086292613636367</v>
      </c>
    </row>
    <row r="94" spans="1:46" x14ac:dyDescent="0.25">
      <c r="A94" s="8">
        <f t="shared" si="3"/>
        <v>1927</v>
      </c>
      <c r="C94" s="17"/>
      <c r="D94" s="17"/>
      <c r="E94" s="1"/>
      <c r="F94" s="17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>
        <v>6.826704545454545</v>
      </c>
    </row>
    <row r="95" spans="1:46" x14ac:dyDescent="0.25">
      <c r="A95" s="8">
        <f t="shared" si="3"/>
        <v>1928</v>
      </c>
      <c r="C95" s="17"/>
      <c r="D95" s="17"/>
      <c r="E95" s="1"/>
      <c r="F95" s="17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>
        <v>6.5878462357954541</v>
      </c>
    </row>
    <row r="96" spans="1:46" x14ac:dyDescent="0.25">
      <c r="A96" s="8">
        <f t="shared" si="3"/>
        <v>1929</v>
      </c>
      <c r="C96" s="17"/>
      <c r="D96" s="17"/>
      <c r="E96" s="1"/>
      <c r="F96" s="17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>
        <v>5.8700284090909083</v>
      </c>
    </row>
    <row r="97" spans="1:45" x14ac:dyDescent="0.25">
      <c r="A97" s="8">
        <f t="shared" si="3"/>
        <v>1930</v>
      </c>
      <c r="C97" s="17"/>
      <c r="D97" s="17"/>
      <c r="E97" s="1"/>
      <c r="F97" s="17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>
        <v>5.1653993983957207</v>
      </c>
    </row>
    <row r="98" spans="1:45" x14ac:dyDescent="0.25">
      <c r="A98" s="8">
        <f t="shared" si="3"/>
        <v>1931</v>
      </c>
      <c r="C98" s="17"/>
      <c r="D98" s="17"/>
      <c r="E98" s="1"/>
      <c r="F98" s="17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>
        <v>3.5011280080213893</v>
      </c>
    </row>
    <row r="99" spans="1:45" hidden="1" x14ac:dyDescent="0.25">
      <c r="A99" s="8">
        <f t="shared" si="3"/>
        <v>1932</v>
      </c>
      <c r="C99" s="17"/>
      <c r="D99" s="17"/>
      <c r="E99" s="1"/>
      <c r="F99" s="17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5" hidden="1" x14ac:dyDescent="0.25">
      <c r="A100" s="8">
        <f t="shared" si="3"/>
        <v>1933</v>
      </c>
      <c r="C100" s="17"/>
      <c r="D100" s="17"/>
      <c r="E100" s="1"/>
      <c r="F100" s="17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5" hidden="1" x14ac:dyDescent="0.25">
      <c r="A101" s="8">
        <f t="shared" si="3"/>
        <v>1934</v>
      </c>
      <c r="C101" s="17"/>
      <c r="D101" s="17"/>
      <c r="E101" s="1"/>
      <c r="F101" s="17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5" hidden="1" x14ac:dyDescent="0.25">
      <c r="A102" s="8">
        <f t="shared" si="3"/>
        <v>1935</v>
      </c>
      <c r="C102" s="17"/>
      <c r="D102" s="17"/>
      <c r="E102" s="1"/>
      <c r="F102" s="17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5" hidden="1" x14ac:dyDescent="0.25">
      <c r="A103" s="8">
        <f t="shared" si="3"/>
        <v>1936</v>
      </c>
      <c r="C103" s="17"/>
      <c r="D103" s="17"/>
      <c r="E103" s="1"/>
      <c r="F103" s="17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5" hidden="1" x14ac:dyDescent="0.25">
      <c r="A104" s="8">
        <f t="shared" si="3"/>
        <v>1937</v>
      </c>
      <c r="C104" s="17"/>
      <c r="D104" s="17"/>
      <c r="E104" s="1"/>
      <c r="F104" s="17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5" hidden="1" x14ac:dyDescent="0.25">
      <c r="A105" s="8">
        <f t="shared" si="3"/>
        <v>1938</v>
      </c>
      <c r="C105" s="17"/>
      <c r="D105" s="17"/>
      <c r="E105" s="1"/>
      <c r="F105" s="17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5" hidden="1" x14ac:dyDescent="0.25">
      <c r="A106" s="8">
        <f t="shared" si="3"/>
        <v>1939</v>
      </c>
      <c r="C106" s="17"/>
      <c r="D106" s="17"/>
      <c r="E106" s="1"/>
      <c r="F106" s="17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5" hidden="1" x14ac:dyDescent="0.25">
      <c r="A107" s="8">
        <f t="shared" si="3"/>
        <v>1940</v>
      </c>
      <c r="C107" s="17"/>
      <c r="D107" s="1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5" hidden="1" x14ac:dyDescent="0.25">
      <c r="A108" s="8">
        <f t="shared" si="3"/>
        <v>1941</v>
      </c>
      <c r="C108" s="17"/>
      <c r="D108" s="1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5" hidden="1" x14ac:dyDescent="0.25">
      <c r="A109" s="8">
        <f t="shared" si="3"/>
        <v>1942</v>
      </c>
      <c r="C109" s="17"/>
      <c r="D109" s="1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5" hidden="1" x14ac:dyDescent="0.25">
      <c r="A110" s="8">
        <f t="shared" si="3"/>
        <v>1943</v>
      </c>
      <c r="C110" s="17"/>
      <c r="D110" s="1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5" hidden="1" x14ac:dyDescent="0.25">
      <c r="A111" s="8">
        <f t="shared" si="3"/>
        <v>1944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5" hidden="1" x14ac:dyDescent="0.25">
      <c r="A112" s="8">
        <f t="shared" si="3"/>
        <v>1945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hidden="1" x14ac:dyDescent="0.25">
      <c r="A113" s="8">
        <f t="shared" si="3"/>
        <v>1946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hidden="1" x14ac:dyDescent="0.25">
      <c r="A114" s="8">
        <f t="shared" si="3"/>
        <v>1947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hidden="1" x14ac:dyDescent="0.25">
      <c r="A115" s="8">
        <f t="shared" si="3"/>
        <v>1948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hidden="1" x14ac:dyDescent="0.25">
      <c r="A116" s="8">
        <f t="shared" si="3"/>
        <v>1949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hidden="1" x14ac:dyDescent="0.25">
      <c r="A117" s="8">
        <f t="shared" si="3"/>
        <v>1950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hidden="1" x14ac:dyDescent="0.25">
      <c r="A118" s="8">
        <f t="shared" si="3"/>
        <v>1951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hidden="1" x14ac:dyDescent="0.25">
      <c r="A119" s="8">
        <f t="shared" si="3"/>
        <v>1952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hidden="1" x14ac:dyDescent="0.25">
      <c r="A120" s="8">
        <f t="shared" si="3"/>
        <v>1953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hidden="1" x14ac:dyDescent="0.25">
      <c r="A121" s="8">
        <f t="shared" si="3"/>
        <v>1954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hidden="1" x14ac:dyDescent="0.25">
      <c r="A122" s="8">
        <f t="shared" si="3"/>
        <v>1955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hidden="1" x14ac:dyDescent="0.25">
      <c r="A123" s="8">
        <f t="shared" si="3"/>
        <v>1956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hidden="1" x14ac:dyDescent="0.25">
      <c r="A124" s="8">
        <f t="shared" si="3"/>
        <v>1957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hidden="1" x14ac:dyDescent="0.25">
      <c r="A125" s="8">
        <f t="shared" si="3"/>
        <v>1958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hidden="1" x14ac:dyDescent="0.25">
      <c r="A126" s="8">
        <f t="shared" si="3"/>
        <v>1959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hidden="1" x14ac:dyDescent="0.25">
      <c r="A127" s="8">
        <f t="shared" si="3"/>
        <v>1960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hidden="1" x14ac:dyDescent="0.25">
      <c r="A128" s="8">
        <f t="shared" si="3"/>
        <v>1961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 hidden="1" x14ac:dyDescent="0.25">
      <c r="A129" s="8">
        <f t="shared" si="3"/>
        <v>1962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 hidden="1" x14ac:dyDescent="0.25">
      <c r="A130" s="8">
        <f t="shared" si="3"/>
        <v>1963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 hidden="1" x14ac:dyDescent="0.25">
      <c r="A131" s="8">
        <f t="shared" si="3"/>
        <v>1964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 hidden="1" x14ac:dyDescent="0.25">
      <c r="A132" s="8">
        <f t="shared" si="3"/>
        <v>1965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hidden="1" x14ac:dyDescent="0.25">
      <c r="A133" s="8">
        <f t="shared" si="3"/>
        <v>1966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 hidden="1" x14ac:dyDescent="0.25">
      <c r="A134" s="8">
        <f t="shared" si="3"/>
        <v>1967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 hidden="1" x14ac:dyDescent="0.25">
      <c r="A135" s="8">
        <f t="shared" si="3"/>
        <v>1968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 hidden="1" x14ac:dyDescent="0.25">
      <c r="A136" s="8">
        <f t="shared" ref="A136:A145" si="4">A135+1</f>
        <v>1969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 hidden="1" x14ac:dyDescent="0.25">
      <c r="A137" s="8">
        <f t="shared" si="4"/>
        <v>1970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hidden="1" x14ac:dyDescent="0.25">
      <c r="A138" s="8">
        <f t="shared" si="4"/>
        <v>1971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hidden="1" x14ac:dyDescent="0.25">
      <c r="A139" s="8">
        <f t="shared" si="4"/>
        <v>1972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 hidden="1" x14ac:dyDescent="0.25">
      <c r="A140" s="8">
        <f t="shared" si="4"/>
        <v>1973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 hidden="1" x14ac:dyDescent="0.25">
      <c r="A141" s="8">
        <f t="shared" si="4"/>
        <v>1974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 hidden="1" x14ac:dyDescent="0.25">
      <c r="A142" s="8">
        <f t="shared" si="4"/>
        <v>1975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 hidden="1" x14ac:dyDescent="0.25">
      <c r="A143" s="8">
        <f t="shared" si="4"/>
        <v>1976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 hidden="1" x14ac:dyDescent="0.25">
      <c r="A144" s="8">
        <f t="shared" si="4"/>
        <v>1977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 hidden="1" x14ac:dyDescent="0.25">
      <c r="A145" s="8">
        <f t="shared" si="4"/>
        <v>1978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44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44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44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44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44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44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44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44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3:44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3:44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3:44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3:44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3:44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3:44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3:44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3:44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3:44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3:44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3:44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3:44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3:44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3:44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3:44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3:44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3:44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3:44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3:44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3:44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3:44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3:44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3:44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3:44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3:44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3:44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3:44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3:44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3:44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3:44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3:44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3:44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3:44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3:44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3:44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3:44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3:44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3:44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3:44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3:44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3:44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3:44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3:44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3:44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3:44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3:44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3:44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3:44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3:44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3:44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3:44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3:44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3:44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3:44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3:44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3:44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3:44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3:44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3:44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3:44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3:44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3:44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3:44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3:44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3:44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3:44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3:44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3:44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3:44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3:44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3:44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3:44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3:44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3:44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3:44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3:44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3:44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3:44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3:44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3:44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3:44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3:44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3:44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3:44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3:44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3:44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3:44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3:44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3:44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3:44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3:44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3:44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3:44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3:44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3:44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3:44" x14ac:dyDescent="0.2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3:44" x14ac:dyDescent="0.2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3:44" x14ac:dyDescent="0.2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3:44" x14ac:dyDescent="0.2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3:44" x14ac:dyDescent="0.2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3:44" x14ac:dyDescent="0.2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3:44" x14ac:dyDescent="0.2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M17" sqref="M17:M18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"/>
  <sheetViews>
    <sheetView workbookViewId="0">
      <selection activeCell="T5" sqref="T5"/>
    </sheetView>
  </sheetViews>
  <sheetFormatPr defaultRowHeight="13.2" x14ac:dyDescent="0.25"/>
  <sheetData>
    <row r="2" spans="2:2" x14ac:dyDescent="0.25">
      <c r="B2" s="1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>
      <selection activeCell="T5" activeCellId="1" sqref="T5 T5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>
      <selection activeCell="T8" sqref="T8"/>
    </sheetView>
  </sheetViews>
  <sheetFormatPr defaultRowHeight="13.2" x14ac:dyDescent="0.25"/>
  <sheetData>
    <row r="1" spans="1:1" ht="15" x14ac:dyDescent="0.25">
      <c r="A1" s="1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Rice (All)</vt:lpstr>
      <vt:lpstr>Graphs (All)</vt:lpstr>
      <vt:lpstr>Collective Graph (All)</vt:lpstr>
      <vt:lpstr>Rice (Adjusted)</vt:lpstr>
      <vt:lpstr>Graph - 1</vt:lpstr>
      <vt:lpstr>Graph - 2</vt:lpstr>
      <vt:lpstr>Graph - 3</vt:lpstr>
      <vt:lpstr>Graph - 4</vt:lpstr>
      <vt:lpstr>Graph - 5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 Ghulam Mustafa</dc:creator>
  <cp:lastModifiedBy>Rai Ghulam Mustafa</cp:lastModifiedBy>
  <dcterms:created xsi:type="dcterms:W3CDTF">2018-10-01T08:45:50Z</dcterms:created>
  <dcterms:modified xsi:type="dcterms:W3CDTF">2018-11-19T11:16:52Z</dcterms:modified>
</cp:coreProperties>
</file>